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МЕТЫ\ЕвроСтройГарант\Отделка\"/>
    </mc:Choice>
  </mc:AlternateContent>
  <bookViews>
    <workbookView xWindow="0" yWindow="0" windowWidth="21000" windowHeight="11850"/>
  </bookViews>
  <sheets>
    <sheet name="Смета по ТСН-2001" sheetId="5" r:id="rId1"/>
    <sheet name="Акт по ТСН-2001" sheetId="6" r:id="rId2"/>
    <sheet name="Source" sheetId="1" r:id="rId3"/>
    <sheet name="SourceObSm" sheetId="2" r:id="rId4"/>
    <sheet name="SmtRes" sheetId="3" r:id="rId5"/>
    <sheet name="EtalonRes" sheetId="4" r:id="rId6"/>
  </sheets>
  <definedNames>
    <definedName name="_xlnm.Print_Titles" localSheetId="1">'Акт по ТСН-2001'!$20:$20</definedName>
    <definedName name="_xlnm.Print_Titles" localSheetId="0">'Смета по ТСН-2001'!$29:$29</definedName>
    <definedName name="_xlnm.Print_Area" localSheetId="1">'Акт по ТСН-2001'!$A$1:$K$375</definedName>
    <definedName name="_xlnm.Print_Area" localSheetId="0">'Смета по ТСН-2001'!$A$1:$K$383</definedName>
  </definedNames>
  <calcPr calcId="162913"/>
</workbook>
</file>

<file path=xl/calcChain.xml><?xml version="1.0" encoding="utf-8"?>
<calcChain xmlns="http://schemas.openxmlformats.org/spreadsheetml/2006/main">
  <c r="H372" i="6" l="1"/>
  <c r="H369" i="6"/>
  <c r="C372" i="6"/>
  <c r="C369" i="6"/>
  <c r="I366" i="6"/>
  <c r="C366" i="6"/>
  <c r="I365" i="6"/>
  <c r="C365" i="6"/>
  <c r="I364" i="6"/>
  <c r="C364" i="6"/>
  <c r="I363" i="6"/>
  <c r="I362" i="6"/>
  <c r="I361" i="6"/>
  <c r="A361" i="6"/>
  <c r="I359" i="6"/>
  <c r="I358" i="6"/>
  <c r="I357" i="6"/>
  <c r="A357" i="6"/>
  <c r="K354" i="6"/>
  <c r="P354" i="6"/>
  <c r="I354" i="6"/>
  <c r="K353" i="6"/>
  <c r="H353" i="6"/>
  <c r="G353" i="6"/>
  <c r="E353" i="6"/>
  <c r="J352" i="6"/>
  <c r="E352" i="6"/>
  <c r="J351" i="6"/>
  <c r="E351" i="6"/>
  <c r="J350" i="6"/>
  <c r="E350" i="6"/>
  <c r="J349" i="6"/>
  <c r="I349" i="6"/>
  <c r="H349" i="6"/>
  <c r="F349" i="6"/>
  <c r="V349" i="6"/>
  <c r="T349" i="6"/>
  <c r="R349" i="6"/>
  <c r="U349" i="6"/>
  <c r="S349" i="6"/>
  <c r="Q349" i="6"/>
  <c r="E349" i="6"/>
  <c r="D349" i="6"/>
  <c r="B349" i="6"/>
  <c r="A349" i="6"/>
  <c r="J348" i="6"/>
  <c r="I348" i="6"/>
  <c r="H348" i="6"/>
  <c r="G348" i="6"/>
  <c r="F348" i="6"/>
  <c r="J347" i="6"/>
  <c r="I347" i="6"/>
  <c r="H347" i="6"/>
  <c r="G347" i="6"/>
  <c r="F347" i="6"/>
  <c r="J346" i="6"/>
  <c r="I346" i="6"/>
  <c r="H346" i="6"/>
  <c r="G346" i="6"/>
  <c r="F346" i="6"/>
  <c r="J345" i="6"/>
  <c r="I345" i="6"/>
  <c r="H345" i="6"/>
  <c r="G345" i="6"/>
  <c r="F345" i="6"/>
  <c r="C344" i="6"/>
  <c r="V343" i="6"/>
  <c r="T343" i="6"/>
  <c r="R343" i="6"/>
  <c r="U343" i="6"/>
  <c r="S343" i="6"/>
  <c r="Q343" i="6"/>
  <c r="E343" i="6"/>
  <c r="D343" i="6"/>
  <c r="B343" i="6"/>
  <c r="A343" i="6"/>
  <c r="K341" i="6"/>
  <c r="P341" i="6"/>
  <c r="I341" i="6"/>
  <c r="K340" i="6"/>
  <c r="H340" i="6"/>
  <c r="G340" i="6"/>
  <c r="E340" i="6"/>
  <c r="J339" i="6"/>
  <c r="E339" i="6"/>
  <c r="J338" i="6"/>
  <c r="E338" i="6"/>
  <c r="J337" i="6"/>
  <c r="E337" i="6"/>
  <c r="J336" i="6"/>
  <c r="I336" i="6"/>
  <c r="H336" i="6"/>
  <c r="F336" i="6"/>
  <c r="V336" i="6"/>
  <c r="T336" i="6"/>
  <c r="R336" i="6"/>
  <c r="U336" i="6"/>
  <c r="S336" i="6"/>
  <c r="Q336" i="6"/>
  <c r="E336" i="6"/>
  <c r="D336" i="6"/>
  <c r="B336" i="6"/>
  <c r="A336" i="6"/>
  <c r="J335" i="6"/>
  <c r="I335" i="6"/>
  <c r="H335" i="6"/>
  <c r="G335" i="6"/>
  <c r="F335" i="6"/>
  <c r="J334" i="6"/>
  <c r="I334" i="6"/>
  <c r="H334" i="6"/>
  <c r="G334" i="6"/>
  <c r="F334" i="6"/>
  <c r="J333" i="6"/>
  <c r="I333" i="6"/>
  <c r="H333" i="6"/>
  <c r="G333" i="6"/>
  <c r="F333" i="6"/>
  <c r="J332" i="6"/>
  <c r="I332" i="6"/>
  <c r="H332" i="6"/>
  <c r="G332" i="6"/>
  <c r="F332" i="6"/>
  <c r="C331" i="6"/>
  <c r="V330" i="6"/>
  <c r="T330" i="6"/>
  <c r="R330" i="6"/>
  <c r="U330" i="6"/>
  <c r="S330" i="6"/>
  <c r="Q330" i="6"/>
  <c r="E330" i="6"/>
  <c r="D330" i="6"/>
  <c r="B330" i="6"/>
  <c r="A330" i="6"/>
  <c r="K328" i="6"/>
  <c r="P328" i="6"/>
  <c r="I328" i="6"/>
  <c r="K327" i="6"/>
  <c r="H327" i="6"/>
  <c r="G327" i="6"/>
  <c r="E327" i="6"/>
  <c r="J326" i="6"/>
  <c r="E326" i="6"/>
  <c r="J325" i="6"/>
  <c r="E325" i="6"/>
  <c r="J324" i="6"/>
  <c r="E324" i="6"/>
  <c r="J323" i="6"/>
  <c r="I323" i="6"/>
  <c r="H323" i="6"/>
  <c r="F323" i="6"/>
  <c r="V323" i="6"/>
  <c r="T323" i="6"/>
  <c r="R323" i="6"/>
  <c r="U323" i="6"/>
  <c r="S323" i="6"/>
  <c r="Q323" i="6"/>
  <c r="E323" i="6"/>
  <c r="D323" i="6"/>
  <c r="B323" i="6"/>
  <c r="A323" i="6"/>
  <c r="J322" i="6"/>
  <c r="I322" i="6"/>
  <c r="H322" i="6"/>
  <c r="G322" i="6"/>
  <c r="F322" i="6"/>
  <c r="J321" i="6"/>
  <c r="I321" i="6"/>
  <c r="H321" i="6"/>
  <c r="G321" i="6"/>
  <c r="F321" i="6"/>
  <c r="J320" i="6"/>
  <c r="I320" i="6"/>
  <c r="H320" i="6"/>
  <c r="G320" i="6"/>
  <c r="F320" i="6"/>
  <c r="J319" i="6"/>
  <c r="I319" i="6"/>
  <c r="H319" i="6"/>
  <c r="G319" i="6"/>
  <c r="F319" i="6"/>
  <c r="V318" i="6"/>
  <c r="T318" i="6"/>
  <c r="R318" i="6"/>
  <c r="U318" i="6"/>
  <c r="S318" i="6"/>
  <c r="Q318" i="6"/>
  <c r="E318" i="6"/>
  <c r="D318" i="6"/>
  <c r="B318" i="6"/>
  <c r="A318" i="6"/>
  <c r="K316" i="6"/>
  <c r="P316" i="6"/>
  <c r="I316" i="6"/>
  <c r="K315" i="6"/>
  <c r="H315" i="6"/>
  <c r="G315" i="6"/>
  <c r="E315" i="6"/>
  <c r="J314" i="6"/>
  <c r="E314" i="6"/>
  <c r="J313" i="6"/>
  <c r="E313" i="6"/>
  <c r="J312" i="6"/>
  <c r="E312" i="6"/>
  <c r="J311" i="6"/>
  <c r="I311" i="6"/>
  <c r="H311" i="6"/>
  <c r="F311" i="6"/>
  <c r="V311" i="6"/>
  <c r="T311" i="6"/>
  <c r="R311" i="6"/>
  <c r="U311" i="6"/>
  <c r="S311" i="6"/>
  <c r="Q311" i="6"/>
  <c r="E311" i="6"/>
  <c r="D311" i="6"/>
  <c r="B311" i="6"/>
  <c r="A311" i="6"/>
  <c r="J310" i="6"/>
  <c r="I310" i="6"/>
  <c r="H310" i="6"/>
  <c r="G310" i="6"/>
  <c r="F310" i="6"/>
  <c r="J309" i="6"/>
  <c r="I309" i="6"/>
  <c r="H309" i="6"/>
  <c r="G309" i="6"/>
  <c r="F309" i="6"/>
  <c r="J308" i="6"/>
  <c r="I308" i="6"/>
  <c r="H308" i="6"/>
  <c r="G308" i="6"/>
  <c r="F308" i="6"/>
  <c r="J307" i="6"/>
  <c r="I307" i="6"/>
  <c r="H307" i="6"/>
  <c r="G307" i="6"/>
  <c r="F307" i="6"/>
  <c r="C306" i="6"/>
  <c r="V305" i="6"/>
  <c r="T305" i="6"/>
  <c r="R305" i="6"/>
  <c r="U305" i="6"/>
  <c r="S305" i="6"/>
  <c r="Q305" i="6"/>
  <c r="E305" i="6"/>
  <c r="D305" i="6"/>
  <c r="B305" i="6"/>
  <c r="A305" i="6"/>
  <c r="K303" i="6"/>
  <c r="P303" i="6"/>
  <c r="I303" i="6"/>
  <c r="K302" i="6"/>
  <c r="H302" i="6"/>
  <c r="G302" i="6"/>
  <c r="E302" i="6"/>
  <c r="J301" i="6"/>
  <c r="E301" i="6"/>
  <c r="J300" i="6"/>
  <c r="E300" i="6"/>
  <c r="J299" i="6"/>
  <c r="E299" i="6"/>
  <c r="J298" i="6"/>
  <c r="I298" i="6"/>
  <c r="H298" i="6"/>
  <c r="F298" i="6"/>
  <c r="V298" i="6"/>
  <c r="T298" i="6"/>
  <c r="R298" i="6"/>
  <c r="U298" i="6"/>
  <c r="S298" i="6"/>
  <c r="Q298" i="6"/>
  <c r="E298" i="6"/>
  <c r="D298" i="6"/>
  <c r="B298" i="6"/>
  <c r="A298" i="6"/>
  <c r="J297" i="6"/>
  <c r="I297" i="6"/>
  <c r="H297" i="6"/>
  <c r="F297" i="6"/>
  <c r="V297" i="6"/>
  <c r="T297" i="6"/>
  <c r="R297" i="6"/>
  <c r="U297" i="6"/>
  <c r="S297" i="6"/>
  <c r="Q297" i="6"/>
  <c r="E297" i="6"/>
  <c r="D297" i="6"/>
  <c r="B297" i="6"/>
  <c r="A297" i="6"/>
  <c r="J296" i="6"/>
  <c r="I296" i="6"/>
  <c r="H296" i="6"/>
  <c r="G296" i="6"/>
  <c r="F296" i="6"/>
  <c r="J295" i="6"/>
  <c r="I295" i="6"/>
  <c r="H295" i="6"/>
  <c r="G295" i="6"/>
  <c r="F295" i="6"/>
  <c r="J294" i="6"/>
  <c r="I294" i="6"/>
  <c r="H294" i="6"/>
  <c r="G294" i="6"/>
  <c r="F294" i="6"/>
  <c r="J293" i="6"/>
  <c r="I293" i="6"/>
  <c r="H293" i="6"/>
  <c r="G293" i="6"/>
  <c r="F293" i="6"/>
  <c r="C292" i="6"/>
  <c r="V291" i="6"/>
  <c r="T291" i="6"/>
  <c r="R291" i="6"/>
  <c r="U291" i="6"/>
  <c r="S291" i="6"/>
  <c r="Q291" i="6"/>
  <c r="E291" i="6"/>
  <c r="D291" i="6"/>
  <c r="B291" i="6"/>
  <c r="A291" i="6"/>
  <c r="K289" i="6"/>
  <c r="P289" i="6"/>
  <c r="I289" i="6"/>
  <c r="K288" i="6"/>
  <c r="H288" i="6"/>
  <c r="G288" i="6"/>
  <c r="E288" i="6"/>
  <c r="J287" i="6"/>
  <c r="E287" i="6"/>
  <c r="J286" i="6"/>
  <c r="E286" i="6"/>
  <c r="J285" i="6"/>
  <c r="E285" i="6"/>
  <c r="J284" i="6"/>
  <c r="I284" i="6"/>
  <c r="H284" i="6"/>
  <c r="F284" i="6"/>
  <c r="V284" i="6"/>
  <c r="T284" i="6"/>
  <c r="R284" i="6"/>
  <c r="U284" i="6"/>
  <c r="S284" i="6"/>
  <c r="Q284" i="6"/>
  <c r="E284" i="6"/>
  <c r="D284" i="6"/>
  <c r="B284" i="6"/>
  <c r="A284" i="6"/>
  <c r="J283" i="6"/>
  <c r="I283" i="6"/>
  <c r="H283" i="6"/>
  <c r="G283" i="6"/>
  <c r="F283" i="6"/>
  <c r="J282" i="6"/>
  <c r="I282" i="6"/>
  <c r="H282" i="6"/>
  <c r="G282" i="6"/>
  <c r="F282" i="6"/>
  <c r="J281" i="6"/>
  <c r="I281" i="6"/>
  <c r="H281" i="6"/>
  <c r="G281" i="6"/>
  <c r="F281" i="6"/>
  <c r="J280" i="6"/>
  <c r="I280" i="6"/>
  <c r="H280" i="6"/>
  <c r="G280" i="6"/>
  <c r="F280" i="6"/>
  <c r="C279" i="6"/>
  <c r="V278" i="6"/>
  <c r="T278" i="6"/>
  <c r="R278" i="6"/>
  <c r="U278" i="6"/>
  <c r="S278" i="6"/>
  <c r="Q278" i="6"/>
  <c r="E278" i="6"/>
  <c r="D278" i="6"/>
  <c r="B278" i="6"/>
  <c r="A278" i="6"/>
  <c r="K276" i="6"/>
  <c r="P276" i="6"/>
  <c r="I276" i="6"/>
  <c r="K275" i="6"/>
  <c r="H275" i="6"/>
  <c r="G275" i="6"/>
  <c r="E275" i="6"/>
  <c r="J274" i="6"/>
  <c r="E274" i="6"/>
  <c r="J273" i="6"/>
  <c r="E273" i="6"/>
  <c r="J272" i="6"/>
  <c r="E272" i="6"/>
  <c r="J271" i="6"/>
  <c r="I271" i="6"/>
  <c r="H271" i="6"/>
  <c r="F271" i="6"/>
  <c r="V271" i="6"/>
  <c r="T271" i="6"/>
  <c r="R271" i="6"/>
  <c r="U271" i="6"/>
  <c r="S271" i="6"/>
  <c r="Q271" i="6"/>
  <c r="E271" i="6"/>
  <c r="D271" i="6"/>
  <c r="B271" i="6"/>
  <c r="A271" i="6"/>
  <c r="J270" i="6"/>
  <c r="I270" i="6"/>
  <c r="H270" i="6"/>
  <c r="F270" i="6"/>
  <c r="V270" i="6"/>
  <c r="T270" i="6"/>
  <c r="R270" i="6"/>
  <c r="U270" i="6"/>
  <c r="S270" i="6"/>
  <c r="Q270" i="6"/>
  <c r="E270" i="6"/>
  <c r="D270" i="6"/>
  <c r="B270" i="6"/>
  <c r="A270" i="6"/>
  <c r="J269" i="6"/>
  <c r="I269" i="6"/>
  <c r="H269" i="6"/>
  <c r="F269" i="6"/>
  <c r="V269" i="6"/>
  <c r="T269" i="6"/>
  <c r="R269" i="6"/>
  <c r="U269" i="6"/>
  <c r="S269" i="6"/>
  <c r="Q269" i="6"/>
  <c r="E269" i="6"/>
  <c r="D269" i="6"/>
  <c r="B269" i="6"/>
  <c r="A269" i="6"/>
  <c r="J268" i="6"/>
  <c r="I268" i="6"/>
  <c r="H268" i="6"/>
  <c r="F268" i="6"/>
  <c r="V268" i="6"/>
  <c r="T268" i="6"/>
  <c r="R268" i="6"/>
  <c r="U268" i="6"/>
  <c r="S268" i="6"/>
  <c r="Q268" i="6"/>
  <c r="E268" i="6"/>
  <c r="D268" i="6"/>
  <c r="B268" i="6"/>
  <c r="A268" i="6"/>
  <c r="J267" i="6"/>
  <c r="I267" i="6"/>
  <c r="H267" i="6"/>
  <c r="F267" i="6"/>
  <c r="V267" i="6"/>
  <c r="T267" i="6"/>
  <c r="R267" i="6"/>
  <c r="U267" i="6"/>
  <c r="S267" i="6"/>
  <c r="Q267" i="6"/>
  <c r="E267" i="6"/>
  <c r="D267" i="6"/>
  <c r="B267" i="6"/>
  <c r="A267" i="6"/>
  <c r="J266" i="6"/>
  <c r="I266" i="6"/>
  <c r="H266" i="6"/>
  <c r="G266" i="6"/>
  <c r="F266" i="6"/>
  <c r="J265" i="6"/>
  <c r="I265" i="6"/>
  <c r="H265" i="6"/>
  <c r="G265" i="6"/>
  <c r="F265" i="6"/>
  <c r="J264" i="6"/>
  <c r="I264" i="6"/>
  <c r="H264" i="6"/>
  <c r="G264" i="6"/>
  <c r="F264" i="6"/>
  <c r="J263" i="6"/>
  <c r="I263" i="6"/>
  <c r="H263" i="6"/>
  <c r="G263" i="6"/>
  <c r="F263" i="6"/>
  <c r="C262" i="6"/>
  <c r="V261" i="6"/>
  <c r="T261" i="6"/>
  <c r="R261" i="6"/>
  <c r="U261" i="6"/>
  <c r="S261" i="6"/>
  <c r="Q261" i="6"/>
  <c r="E261" i="6"/>
  <c r="D261" i="6"/>
  <c r="B261" i="6"/>
  <c r="A261" i="6"/>
  <c r="K259" i="6"/>
  <c r="P259" i="6"/>
  <c r="I259" i="6"/>
  <c r="K258" i="6"/>
  <c r="H258" i="6"/>
  <c r="G258" i="6"/>
  <c r="E258" i="6"/>
  <c r="J257" i="6"/>
  <c r="E257" i="6"/>
  <c r="J256" i="6"/>
  <c r="E256" i="6"/>
  <c r="J255" i="6"/>
  <c r="E255" i="6"/>
  <c r="J254" i="6"/>
  <c r="I254" i="6"/>
  <c r="H254" i="6"/>
  <c r="F254" i="6"/>
  <c r="V254" i="6"/>
  <c r="T254" i="6"/>
  <c r="R254" i="6"/>
  <c r="U254" i="6"/>
  <c r="S254" i="6"/>
  <c r="Q254" i="6"/>
  <c r="E254" i="6"/>
  <c r="D254" i="6"/>
  <c r="B254" i="6"/>
  <c r="A254" i="6"/>
  <c r="J253" i="6"/>
  <c r="I253" i="6"/>
  <c r="H253" i="6"/>
  <c r="F253" i="6"/>
  <c r="V253" i="6"/>
  <c r="T253" i="6"/>
  <c r="R253" i="6"/>
  <c r="U253" i="6"/>
  <c r="S253" i="6"/>
  <c r="Q253" i="6"/>
  <c r="E253" i="6"/>
  <c r="D253" i="6"/>
  <c r="B253" i="6"/>
  <c r="A253" i="6"/>
  <c r="J252" i="6"/>
  <c r="I252" i="6"/>
  <c r="H252" i="6"/>
  <c r="F252" i="6"/>
  <c r="V252" i="6"/>
  <c r="T252" i="6"/>
  <c r="R252" i="6"/>
  <c r="U252" i="6"/>
  <c r="S252" i="6"/>
  <c r="Q252" i="6"/>
  <c r="E252" i="6"/>
  <c r="D252" i="6"/>
  <c r="B252" i="6"/>
  <c r="A252" i="6"/>
  <c r="J251" i="6"/>
  <c r="I251" i="6"/>
  <c r="H251" i="6"/>
  <c r="G251" i="6"/>
  <c r="F251" i="6"/>
  <c r="J250" i="6"/>
  <c r="I250" i="6"/>
  <c r="H250" i="6"/>
  <c r="G250" i="6"/>
  <c r="F250" i="6"/>
  <c r="J249" i="6"/>
  <c r="I249" i="6"/>
  <c r="H249" i="6"/>
  <c r="G249" i="6"/>
  <c r="F249" i="6"/>
  <c r="J248" i="6"/>
  <c r="I248" i="6"/>
  <c r="H248" i="6"/>
  <c r="G248" i="6"/>
  <c r="F248" i="6"/>
  <c r="C247" i="6"/>
  <c r="V246" i="6"/>
  <c r="T246" i="6"/>
  <c r="R246" i="6"/>
  <c r="U246" i="6"/>
  <c r="S246" i="6"/>
  <c r="Q246" i="6"/>
  <c r="E246" i="6"/>
  <c r="D246" i="6"/>
  <c r="B246" i="6"/>
  <c r="A246" i="6"/>
  <c r="K244" i="6"/>
  <c r="P244" i="6"/>
  <c r="I244" i="6"/>
  <c r="K243" i="6"/>
  <c r="H243" i="6"/>
  <c r="G243" i="6"/>
  <c r="E243" i="6"/>
  <c r="J242" i="6"/>
  <c r="E242" i="6"/>
  <c r="J241" i="6"/>
  <c r="E241" i="6"/>
  <c r="J240" i="6"/>
  <c r="E240" i="6"/>
  <c r="J239" i="6"/>
  <c r="I239" i="6"/>
  <c r="H239" i="6"/>
  <c r="F239" i="6"/>
  <c r="V239" i="6"/>
  <c r="T239" i="6"/>
  <c r="R239" i="6"/>
  <c r="U239" i="6"/>
  <c r="S239" i="6"/>
  <c r="Q239" i="6"/>
  <c r="E239" i="6"/>
  <c r="D239" i="6"/>
  <c r="B239" i="6"/>
  <c r="A239" i="6"/>
  <c r="J238" i="6"/>
  <c r="I238" i="6"/>
  <c r="H238" i="6"/>
  <c r="G238" i="6"/>
  <c r="F238" i="6"/>
  <c r="J237" i="6"/>
  <c r="I237" i="6"/>
  <c r="H237" i="6"/>
  <c r="G237" i="6"/>
  <c r="F237" i="6"/>
  <c r="J236" i="6"/>
  <c r="I236" i="6"/>
  <c r="H236" i="6"/>
  <c r="G236" i="6"/>
  <c r="F236" i="6"/>
  <c r="C235" i="6"/>
  <c r="V234" i="6"/>
  <c r="T234" i="6"/>
  <c r="R234" i="6"/>
  <c r="U234" i="6"/>
  <c r="S234" i="6"/>
  <c r="Q234" i="6"/>
  <c r="E234" i="6"/>
  <c r="D234" i="6"/>
  <c r="B234" i="6"/>
  <c r="A234" i="6"/>
  <c r="K232" i="6"/>
  <c r="P232" i="6"/>
  <c r="I232" i="6"/>
  <c r="K231" i="6"/>
  <c r="H231" i="6"/>
  <c r="G231" i="6"/>
  <c r="E231" i="6"/>
  <c r="J230" i="6"/>
  <c r="E230" i="6"/>
  <c r="J229" i="6"/>
  <c r="E229" i="6"/>
  <c r="J228" i="6"/>
  <c r="E228" i="6"/>
  <c r="J227" i="6"/>
  <c r="I227" i="6"/>
  <c r="H227" i="6"/>
  <c r="F227" i="6"/>
  <c r="V227" i="6"/>
  <c r="T227" i="6"/>
  <c r="R227" i="6"/>
  <c r="U227" i="6"/>
  <c r="S227" i="6"/>
  <c r="Q227" i="6"/>
  <c r="E227" i="6"/>
  <c r="D227" i="6"/>
  <c r="B227" i="6"/>
  <c r="A227" i="6"/>
  <c r="J226" i="6"/>
  <c r="I226" i="6"/>
  <c r="H226" i="6"/>
  <c r="F226" i="6"/>
  <c r="V226" i="6"/>
  <c r="T226" i="6"/>
  <c r="R226" i="6"/>
  <c r="U226" i="6"/>
  <c r="S226" i="6"/>
  <c r="Q226" i="6"/>
  <c r="E226" i="6"/>
  <c r="D226" i="6"/>
  <c r="B226" i="6"/>
  <c r="A226" i="6"/>
  <c r="J225" i="6"/>
  <c r="I225" i="6"/>
  <c r="H225" i="6"/>
  <c r="G225" i="6"/>
  <c r="F225" i="6"/>
  <c r="J224" i="6"/>
  <c r="I224" i="6"/>
  <c r="H224" i="6"/>
  <c r="G224" i="6"/>
  <c r="F224" i="6"/>
  <c r="J223" i="6"/>
  <c r="I223" i="6"/>
  <c r="H223" i="6"/>
  <c r="G223" i="6"/>
  <c r="F223" i="6"/>
  <c r="J222" i="6"/>
  <c r="I222" i="6"/>
  <c r="H222" i="6"/>
  <c r="G222" i="6"/>
  <c r="F222" i="6"/>
  <c r="C221" i="6"/>
  <c r="V220" i="6"/>
  <c r="T220" i="6"/>
  <c r="R220" i="6"/>
  <c r="U220" i="6"/>
  <c r="S220" i="6"/>
  <c r="Q220" i="6"/>
  <c r="E220" i="6"/>
  <c r="D220" i="6"/>
  <c r="B220" i="6"/>
  <c r="A220" i="6"/>
  <c r="K218" i="6"/>
  <c r="P218" i="6"/>
  <c r="I218" i="6"/>
  <c r="K217" i="6"/>
  <c r="H217" i="6"/>
  <c r="G217" i="6"/>
  <c r="E217" i="6"/>
  <c r="J216" i="6"/>
  <c r="E216" i="6"/>
  <c r="J215" i="6"/>
  <c r="E215" i="6"/>
  <c r="J214" i="6"/>
  <c r="E214" i="6"/>
  <c r="J213" i="6"/>
  <c r="I213" i="6"/>
  <c r="H213" i="6"/>
  <c r="F213" i="6"/>
  <c r="V213" i="6"/>
  <c r="T213" i="6"/>
  <c r="R213" i="6"/>
  <c r="U213" i="6"/>
  <c r="S213" i="6"/>
  <c r="Q213" i="6"/>
  <c r="E213" i="6"/>
  <c r="D213" i="6"/>
  <c r="B213" i="6"/>
  <c r="A213" i="6"/>
  <c r="J212" i="6"/>
  <c r="I212" i="6"/>
  <c r="H212" i="6"/>
  <c r="G212" i="6"/>
  <c r="F212" i="6"/>
  <c r="J211" i="6"/>
  <c r="I211" i="6"/>
  <c r="H211" i="6"/>
  <c r="G211" i="6"/>
  <c r="F211" i="6"/>
  <c r="J210" i="6"/>
  <c r="I210" i="6"/>
  <c r="H210" i="6"/>
  <c r="G210" i="6"/>
  <c r="F210" i="6"/>
  <c r="C209" i="6"/>
  <c r="V208" i="6"/>
  <c r="T208" i="6"/>
  <c r="R208" i="6"/>
  <c r="U208" i="6"/>
  <c r="S208" i="6"/>
  <c r="Q208" i="6"/>
  <c r="E208" i="6"/>
  <c r="D208" i="6"/>
  <c r="B208" i="6"/>
  <c r="A208" i="6"/>
  <c r="K206" i="6"/>
  <c r="P206" i="6"/>
  <c r="I206" i="6"/>
  <c r="K205" i="6"/>
  <c r="H205" i="6"/>
  <c r="G205" i="6"/>
  <c r="E205" i="6"/>
  <c r="J204" i="6"/>
  <c r="E204" i="6"/>
  <c r="J203" i="6"/>
  <c r="E203" i="6"/>
  <c r="J202" i="6"/>
  <c r="E202" i="6"/>
  <c r="J201" i="6"/>
  <c r="I201" i="6"/>
  <c r="H201" i="6"/>
  <c r="F201" i="6"/>
  <c r="V201" i="6"/>
  <c r="T201" i="6"/>
  <c r="R201" i="6"/>
  <c r="U201" i="6"/>
  <c r="S201" i="6"/>
  <c r="Q201" i="6"/>
  <c r="E201" i="6"/>
  <c r="D201" i="6"/>
  <c r="B201" i="6"/>
  <c r="A201" i="6"/>
  <c r="J200" i="6"/>
  <c r="I200" i="6"/>
  <c r="H200" i="6"/>
  <c r="F200" i="6"/>
  <c r="V200" i="6"/>
  <c r="T200" i="6"/>
  <c r="R200" i="6"/>
  <c r="U200" i="6"/>
  <c r="S200" i="6"/>
  <c r="Q200" i="6"/>
  <c r="E200" i="6"/>
  <c r="D200" i="6"/>
  <c r="B200" i="6"/>
  <c r="A200" i="6"/>
  <c r="J199" i="6"/>
  <c r="I199" i="6"/>
  <c r="H199" i="6"/>
  <c r="G199" i="6"/>
  <c r="F199" i="6"/>
  <c r="J198" i="6"/>
  <c r="I198" i="6"/>
  <c r="H198" i="6"/>
  <c r="G198" i="6"/>
  <c r="F198" i="6"/>
  <c r="J197" i="6"/>
  <c r="I197" i="6"/>
  <c r="H197" i="6"/>
  <c r="G197" i="6"/>
  <c r="F197" i="6"/>
  <c r="C196" i="6"/>
  <c r="V195" i="6"/>
  <c r="T195" i="6"/>
  <c r="R195" i="6"/>
  <c r="U195" i="6"/>
  <c r="S195" i="6"/>
  <c r="Q195" i="6"/>
  <c r="E195" i="6"/>
  <c r="D195" i="6"/>
  <c r="B195" i="6"/>
  <c r="A195" i="6"/>
  <c r="K193" i="6"/>
  <c r="P193" i="6"/>
  <c r="I193" i="6"/>
  <c r="K192" i="6"/>
  <c r="H192" i="6"/>
  <c r="G192" i="6"/>
  <c r="E192" i="6"/>
  <c r="J191" i="6"/>
  <c r="E191" i="6"/>
  <c r="J190" i="6"/>
  <c r="E190" i="6"/>
  <c r="J189" i="6"/>
  <c r="E189" i="6"/>
  <c r="J188" i="6"/>
  <c r="I188" i="6"/>
  <c r="H188" i="6"/>
  <c r="F188" i="6"/>
  <c r="V188" i="6"/>
  <c r="T188" i="6"/>
  <c r="R188" i="6"/>
  <c r="U188" i="6"/>
  <c r="S188" i="6"/>
  <c r="Q188" i="6"/>
  <c r="E188" i="6"/>
  <c r="D188" i="6"/>
  <c r="B188" i="6"/>
  <c r="A188" i="6"/>
  <c r="J187" i="6"/>
  <c r="I187" i="6"/>
  <c r="H187" i="6"/>
  <c r="F187" i="6"/>
  <c r="V187" i="6"/>
  <c r="T187" i="6"/>
  <c r="R187" i="6"/>
  <c r="U187" i="6"/>
  <c r="S187" i="6"/>
  <c r="Q187" i="6"/>
  <c r="E187" i="6"/>
  <c r="D187" i="6"/>
  <c r="B187" i="6"/>
  <c r="A187" i="6"/>
  <c r="J186" i="6"/>
  <c r="I186" i="6"/>
  <c r="H186" i="6"/>
  <c r="G186" i="6"/>
  <c r="F186" i="6"/>
  <c r="J185" i="6"/>
  <c r="I185" i="6"/>
  <c r="H185" i="6"/>
  <c r="G185" i="6"/>
  <c r="F185" i="6"/>
  <c r="J184" i="6"/>
  <c r="I184" i="6"/>
  <c r="H184" i="6"/>
  <c r="G184" i="6"/>
  <c r="F184" i="6"/>
  <c r="J183" i="6"/>
  <c r="I183" i="6"/>
  <c r="H183" i="6"/>
  <c r="G183" i="6"/>
  <c r="F183" i="6"/>
  <c r="C182" i="6"/>
  <c r="V181" i="6"/>
  <c r="T181" i="6"/>
  <c r="R181" i="6"/>
  <c r="U181" i="6"/>
  <c r="S181" i="6"/>
  <c r="Q181" i="6"/>
  <c r="E181" i="6"/>
  <c r="D181" i="6"/>
  <c r="B181" i="6"/>
  <c r="A181" i="6"/>
  <c r="K179" i="6"/>
  <c r="P179" i="6"/>
  <c r="I179" i="6"/>
  <c r="K178" i="6"/>
  <c r="H178" i="6"/>
  <c r="G178" i="6"/>
  <c r="E178" i="6"/>
  <c r="J177" i="6"/>
  <c r="E177" i="6"/>
  <c r="J176" i="6"/>
  <c r="E176" i="6"/>
  <c r="J175" i="6"/>
  <c r="E175" i="6"/>
  <c r="J174" i="6"/>
  <c r="I174" i="6"/>
  <c r="H174" i="6"/>
  <c r="F174" i="6"/>
  <c r="V174" i="6"/>
  <c r="T174" i="6"/>
  <c r="R174" i="6"/>
  <c r="U174" i="6"/>
  <c r="S174" i="6"/>
  <c r="Q174" i="6"/>
  <c r="E174" i="6"/>
  <c r="D174" i="6"/>
  <c r="B174" i="6"/>
  <c r="A174" i="6"/>
  <c r="J173" i="6"/>
  <c r="I173" i="6"/>
  <c r="H173" i="6"/>
  <c r="G173" i="6"/>
  <c r="F173" i="6"/>
  <c r="J172" i="6"/>
  <c r="I172" i="6"/>
  <c r="H172" i="6"/>
  <c r="G172" i="6"/>
  <c r="F172" i="6"/>
  <c r="J171" i="6"/>
  <c r="I171" i="6"/>
  <c r="H171" i="6"/>
  <c r="G171" i="6"/>
  <c r="F171" i="6"/>
  <c r="J170" i="6"/>
  <c r="I170" i="6"/>
  <c r="H170" i="6"/>
  <c r="G170" i="6"/>
  <c r="F170" i="6"/>
  <c r="C169" i="6"/>
  <c r="V168" i="6"/>
  <c r="T168" i="6"/>
  <c r="R168" i="6"/>
  <c r="U168" i="6"/>
  <c r="S168" i="6"/>
  <c r="Q168" i="6"/>
  <c r="E168" i="6"/>
  <c r="D168" i="6"/>
  <c r="B168" i="6"/>
  <c r="A168" i="6"/>
  <c r="K166" i="6"/>
  <c r="P166" i="6"/>
  <c r="I166" i="6"/>
  <c r="K165" i="6"/>
  <c r="H165" i="6"/>
  <c r="G165" i="6"/>
  <c r="E165" i="6"/>
  <c r="J164" i="6"/>
  <c r="E164" i="6"/>
  <c r="J163" i="6"/>
  <c r="E163" i="6"/>
  <c r="J162" i="6"/>
  <c r="E162" i="6"/>
  <c r="J161" i="6"/>
  <c r="I161" i="6"/>
  <c r="H161" i="6"/>
  <c r="F161" i="6"/>
  <c r="V161" i="6"/>
  <c r="T161" i="6"/>
  <c r="R161" i="6"/>
  <c r="U161" i="6"/>
  <c r="S161" i="6"/>
  <c r="Q161" i="6"/>
  <c r="E161" i="6"/>
  <c r="D161" i="6"/>
  <c r="B161" i="6"/>
  <c r="A161" i="6"/>
  <c r="J160" i="6"/>
  <c r="I160" i="6"/>
  <c r="H160" i="6"/>
  <c r="F160" i="6"/>
  <c r="V160" i="6"/>
  <c r="T160" i="6"/>
  <c r="R160" i="6"/>
  <c r="U160" i="6"/>
  <c r="S160" i="6"/>
  <c r="Q160" i="6"/>
  <c r="E160" i="6"/>
  <c r="D160" i="6"/>
  <c r="B160" i="6"/>
  <c r="A160" i="6"/>
  <c r="J159" i="6"/>
  <c r="I159" i="6"/>
  <c r="H159" i="6"/>
  <c r="G159" i="6"/>
  <c r="F159" i="6"/>
  <c r="J158" i="6"/>
  <c r="I158" i="6"/>
  <c r="H158" i="6"/>
  <c r="G158" i="6"/>
  <c r="F158" i="6"/>
  <c r="J157" i="6"/>
  <c r="I157" i="6"/>
  <c r="H157" i="6"/>
  <c r="G157" i="6"/>
  <c r="F157" i="6"/>
  <c r="J156" i="6"/>
  <c r="I156" i="6"/>
  <c r="H156" i="6"/>
  <c r="G156" i="6"/>
  <c r="F156" i="6"/>
  <c r="C155" i="6"/>
  <c r="V154" i="6"/>
  <c r="T154" i="6"/>
  <c r="R154" i="6"/>
  <c r="U154" i="6"/>
  <c r="S154" i="6"/>
  <c r="Q154" i="6"/>
  <c r="E154" i="6"/>
  <c r="D154" i="6"/>
  <c r="B154" i="6"/>
  <c r="A154" i="6"/>
  <c r="K152" i="6"/>
  <c r="P152" i="6"/>
  <c r="I152" i="6"/>
  <c r="K151" i="6"/>
  <c r="H151" i="6"/>
  <c r="G151" i="6"/>
  <c r="E151" i="6"/>
  <c r="J150" i="6"/>
  <c r="E150" i="6"/>
  <c r="J149" i="6"/>
  <c r="E149" i="6"/>
  <c r="J148" i="6"/>
  <c r="E148" i="6"/>
  <c r="J147" i="6"/>
  <c r="I147" i="6"/>
  <c r="H147" i="6"/>
  <c r="F147" i="6"/>
  <c r="V147" i="6"/>
  <c r="T147" i="6"/>
  <c r="R147" i="6"/>
  <c r="U147" i="6"/>
  <c r="S147" i="6"/>
  <c r="Q147" i="6"/>
  <c r="E147" i="6"/>
  <c r="D147" i="6"/>
  <c r="B147" i="6"/>
  <c r="A147" i="6"/>
  <c r="J146" i="6"/>
  <c r="I146" i="6"/>
  <c r="H146" i="6"/>
  <c r="G146" i="6"/>
  <c r="F146" i="6"/>
  <c r="J145" i="6"/>
  <c r="I145" i="6"/>
  <c r="H145" i="6"/>
  <c r="G145" i="6"/>
  <c r="F145" i="6"/>
  <c r="J144" i="6"/>
  <c r="I144" i="6"/>
  <c r="H144" i="6"/>
  <c r="G144" i="6"/>
  <c r="F144" i="6"/>
  <c r="C143" i="6"/>
  <c r="V142" i="6"/>
  <c r="T142" i="6"/>
  <c r="R142" i="6"/>
  <c r="U142" i="6"/>
  <c r="S142" i="6"/>
  <c r="Q142" i="6"/>
  <c r="E142" i="6"/>
  <c r="D142" i="6"/>
  <c r="B142" i="6"/>
  <c r="A142" i="6"/>
  <c r="K140" i="6"/>
  <c r="P140" i="6"/>
  <c r="I140" i="6"/>
  <c r="K139" i="6"/>
  <c r="H139" i="6"/>
  <c r="G139" i="6"/>
  <c r="E139" i="6"/>
  <c r="J138" i="6"/>
  <c r="E138" i="6"/>
  <c r="J137" i="6"/>
  <c r="E137" i="6"/>
  <c r="J136" i="6"/>
  <c r="E136" i="6"/>
  <c r="J135" i="6"/>
  <c r="I135" i="6"/>
  <c r="H135" i="6"/>
  <c r="F135" i="6"/>
  <c r="V135" i="6"/>
  <c r="T135" i="6"/>
  <c r="R135" i="6"/>
  <c r="U135" i="6"/>
  <c r="S135" i="6"/>
  <c r="Q135" i="6"/>
  <c r="E135" i="6"/>
  <c r="D135" i="6"/>
  <c r="B135" i="6"/>
  <c r="A135" i="6"/>
  <c r="J134" i="6"/>
  <c r="I134" i="6"/>
  <c r="H134" i="6"/>
  <c r="G134" i="6"/>
  <c r="F134" i="6"/>
  <c r="J133" i="6"/>
  <c r="I133" i="6"/>
  <c r="H133" i="6"/>
  <c r="G133" i="6"/>
  <c r="F133" i="6"/>
  <c r="J132" i="6"/>
  <c r="I132" i="6"/>
  <c r="H132" i="6"/>
  <c r="G132" i="6"/>
  <c r="F132" i="6"/>
  <c r="J131" i="6"/>
  <c r="I131" i="6"/>
  <c r="H131" i="6"/>
  <c r="G131" i="6"/>
  <c r="F131" i="6"/>
  <c r="C130" i="6"/>
  <c r="V129" i="6"/>
  <c r="T129" i="6"/>
  <c r="R129" i="6"/>
  <c r="U129" i="6"/>
  <c r="S129" i="6"/>
  <c r="Q129" i="6"/>
  <c r="E129" i="6"/>
  <c r="D129" i="6"/>
  <c r="B129" i="6"/>
  <c r="A129" i="6"/>
  <c r="K127" i="6"/>
  <c r="P127" i="6"/>
  <c r="I127" i="6"/>
  <c r="K126" i="6"/>
  <c r="H126" i="6"/>
  <c r="G126" i="6"/>
  <c r="E126" i="6"/>
  <c r="J125" i="6"/>
  <c r="E125" i="6"/>
  <c r="J124" i="6"/>
  <c r="E124" i="6"/>
  <c r="J123" i="6"/>
  <c r="E123" i="6"/>
  <c r="J122" i="6"/>
  <c r="I122" i="6"/>
  <c r="H122" i="6"/>
  <c r="F122" i="6"/>
  <c r="V122" i="6"/>
  <c r="T122" i="6"/>
  <c r="R122" i="6"/>
  <c r="U122" i="6"/>
  <c r="S122" i="6"/>
  <c r="Q122" i="6"/>
  <c r="E122" i="6"/>
  <c r="D122" i="6"/>
  <c r="B122" i="6"/>
  <c r="A122" i="6"/>
  <c r="J121" i="6"/>
  <c r="I121" i="6"/>
  <c r="H121" i="6"/>
  <c r="G121" i="6"/>
  <c r="F121" i="6"/>
  <c r="J120" i="6"/>
  <c r="I120" i="6"/>
  <c r="H120" i="6"/>
  <c r="G120" i="6"/>
  <c r="F120" i="6"/>
  <c r="J119" i="6"/>
  <c r="I119" i="6"/>
  <c r="H119" i="6"/>
  <c r="G119" i="6"/>
  <c r="F119" i="6"/>
  <c r="J118" i="6"/>
  <c r="I118" i="6"/>
  <c r="H118" i="6"/>
  <c r="G118" i="6"/>
  <c r="F118" i="6"/>
  <c r="C117" i="6"/>
  <c r="V116" i="6"/>
  <c r="T116" i="6"/>
  <c r="R116" i="6"/>
  <c r="U116" i="6"/>
  <c r="S116" i="6"/>
  <c r="Q116" i="6"/>
  <c r="E116" i="6"/>
  <c r="D116" i="6"/>
  <c r="B116" i="6"/>
  <c r="A116" i="6"/>
  <c r="K114" i="6"/>
  <c r="P114" i="6"/>
  <c r="I114" i="6"/>
  <c r="K113" i="6"/>
  <c r="H113" i="6"/>
  <c r="G113" i="6"/>
  <c r="E113" i="6"/>
  <c r="J112" i="6"/>
  <c r="E112" i="6"/>
  <c r="J111" i="6"/>
  <c r="E111" i="6"/>
  <c r="J110" i="6"/>
  <c r="E110" i="6"/>
  <c r="J109" i="6"/>
  <c r="I109" i="6"/>
  <c r="H109" i="6"/>
  <c r="F109" i="6"/>
  <c r="V109" i="6"/>
  <c r="T109" i="6"/>
  <c r="R109" i="6"/>
  <c r="U109" i="6"/>
  <c r="S109" i="6"/>
  <c r="Q109" i="6"/>
  <c r="E109" i="6"/>
  <c r="D109" i="6"/>
  <c r="B109" i="6"/>
  <c r="A109" i="6"/>
  <c r="J108" i="6"/>
  <c r="I108" i="6"/>
  <c r="H108" i="6"/>
  <c r="G108" i="6"/>
  <c r="F108" i="6"/>
  <c r="J107" i="6"/>
  <c r="I107" i="6"/>
  <c r="H107" i="6"/>
  <c r="G107" i="6"/>
  <c r="F107" i="6"/>
  <c r="J106" i="6"/>
  <c r="I106" i="6"/>
  <c r="H106" i="6"/>
  <c r="G106" i="6"/>
  <c r="F106" i="6"/>
  <c r="J105" i="6"/>
  <c r="I105" i="6"/>
  <c r="H105" i="6"/>
  <c r="G105" i="6"/>
  <c r="F105" i="6"/>
  <c r="C104" i="6"/>
  <c r="V103" i="6"/>
  <c r="T103" i="6"/>
  <c r="R103" i="6"/>
  <c r="U103" i="6"/>
  <c r="S103" i="6"/>
  <c r="Q103" i="6"/>
  <c r="E103" i="6"/>
  <c r="D103" i="6"/>
  <c r="B103" i="6"/>
  <c r="A103" i="6"/>
  <c r="K101" i="6"/>
  <c r="P101" i="6"/>
  <c r="I101" i="6"/>
  <c r="K100" i="6"/>
  <c r="H100" i="6"/>
  <c r="G100" i="6"/>
  <c r="E100" i="6"/>
  <c r="J99" i="6"/>
  <c r="E99" i="6"/>
  <c r="J98" i="6"/>
  <c r="E98" i="6"/>
  <c r="J97" i="6"/>
  <c r="E97" i="6"/>
  <c r="J96" i="6"/>
  <c r="I96" i="6"/>
  <c r="H96" i="6"/>
  <c r="F96" i="6"/>
  <c r="V96" i="6"/>
  <c r="T96" i="6"/>
  <c r="R96" i="6"/>
  <c r="U96" i="6"/>
  <c r="S96" i="6"/>
  <c r="Q96" i="6"/>
  <c r="E96" i="6"/>
  <c r="D96" i="6"/>
  <c r="B96" i="6"/>
  <c r="A96" i="6"/>
  <c r="J95" i="6"/>
  <c r="I95" i="6"/>
  <c r="H95" i="6"/>
  <c r="G95" i="6"/>
  <c r="F95" i="6"/>
  <c r="J94" i="6"/>
  <c r="I94" i="6"/>
  <c r="H94" i="6"/>
  <c r="G94" i="6"/>
  <c r="F94" i="6"/>
  <c r="J93" i="6"/>
  <c r="I93" i="6"/>
  <c r="H93" i="6"/>
  <c r="G93" i="6"/>
  <c r="F93" i="6"/>
  <c r="J92" i="6"/>
  <c r="I92" i="6"/>
  <c r="H92" i="6"/>
  <c r="G92" i="6"/>
  <c r="F92" i="6"/>
  <c r="C91" i="6"/>
  <c r="V90" i="6"/>
  <c r="T90" i="6"/>
  <c r="R90" i="6"/>
  <c r="U90" i="6"/>
  <c r="S90" i="6"/>
  <c r="Q90" i="6"/>
  <c r="E90" i="6"/>
  <c r="D90" i="6"/>
  <c r="B90" i="6"/>
  <c r="A90" i="6"/>
  <c r="K88" i="6"/>
  <c r="P88" i="6"/>
  <c r="I88" i="6"/>
  <c r="K87" i="6"/>
  <c r="H87" i="6"/>
  <c r="G87" i="6"/>
  <c r="E87" i="6"/>
  <c r="J86" i="6"/>
  <c r="E86" i="6"/>
  <c r="J85" i="6"/>
  <c r="E85" i="6"/>
  <c r="J84" i="6"/>
  <c r="I84" i="6"/>
  <c r="H84" i="6"/>
  <c r="F84" i="6"/>
  <c r="V84" i="6"/>
  <c r="T84" i="6"/>
  <c r="R84" i="6"/>
  <c r="U84" i="6"/>
  <c r="S84" i="6"/>
  <c r="Q84" i="6"/>
  <c r="E84" i="6"/>
  <c r="D84" i="6"/>
  <c r="B84" i="6"/>
  <c r="A84" i="6"/>
  <c r="J83" i="6"/>
  <c r="I83" i="6"/>
  <c r="H83" i="6"/>
  <c r="G83" i="6"/>
  <c r="F83" i="6"/>
  <c r="C82" i="6"/>
  <c r="V81" i="6"/>
  <c r="T81" i="6"/>
  <c r="R81" i="6"/>
  <c r="U81" i="6"/>
  <c r="S81" i="6"/>
  <c r="Q81" i="6"/>
  <c r="E81" i="6"/>
  <c r="D81" i="6"/>
  <c r="B81" i="6"/>
  <c r="A81" i="6"/>
  <c r="K79" i="6"/>
  <c r="P79" i="6"/>
  <c r="I79" i="6"/>
  <c r="K78" i="6"/>
  <c r="H78" i="6"/>
  <c r="G78" i="6"/>
  <c r="E78" i="6"/>
  <c r="J77" i="6"/>
  <c r="E77" i="6"/>
  <c r="J76" i="6"/>
  <c r="E76" i="6"/>
  <c r="J75" i="6"/>
  <c r="E75" i="6"/>
  <c r="J74" i="6"/>
  <c r="I74" i="6"/>
  <c r="H74" i="6"/>
  <c r="F74" i="6"/>
  <c r="V74" i="6"/>
  <c r="T74" i="6"/>
  <c r="R74" i="6"/>
  <c r="U74" i="6"/>
  <c r="S74" i="6"/>
  <c r="Q74" i="6"/>
  <c r="E74" i="6"/>
  <c r="D74" i="6"/>
  <c r="B74" i="6"/>
  <c r="A74" i="6"/>
  <c r="J73" i="6"/>
  <c r="I73" i="6"/>
  <c r="H73" i="6"/>
  <c r="F73" i="6"/>
  <c r="V73" i="6"/>
  <c r="T73" i="6"/>
  <c r="R73" i="6"/>
  <c r="U73" i="6"/>
  <c r="S73" i="6"/>
  <c r="Q73" i="6"/>
  <c r="E73" i="6"/>
  <c r="D73" i="6"/>
  <c r="B73" i="6"/>
  <c r="A73" i="6"/>
  <c r="J72" i="6"/>
  <c r="I72" i="6"/>
  <c r="H72" i="6"/>
  <c r="F72" i="6"/>
  <c r="V72" i="6"/>
  <c r="T72" i="6"/>
  <c r="R72" i="6"/>
  <c r="U72" i="6"/>
  <c r="S72" i="6"/>
  <c r="Q72" i="6"/>
  <c r="E72" i="6"/>
  <c r="D72" i="6"/>
  <c r="B72" i="6"/>
  <c r="A72" i="6"/>
  <c r="J71" i="6"/>
  <c r="I71" i="6"/>
  <c r="H71" i="6"/>
  <c r="G71" i="6"/>
  <c r="F71" i="6"/>
  <c r="J70" i="6"/>
  <c r="I70" i="6"/>
  <c r="H70" i="6"/>
  <c r="G70" i="6"/>
  <c r="F70" i="6"/>
  <c r="J69" i="6"/>
  <c r="I69" i="6"/>
  <c r="H69" i="6"/>
  <c r="G69" i="6"/>
  <c r="F69" i="6"/>
  <c r="J68" i="6"/>
  <c r="I68" i="6"/>
  <c r="H68" i="6"/>
  <c r="G68" i="6"/>
  <c r="F68" i="6"/>
  <c r="C67" i="6"/>
  <c r="V66" i="6"/>
  <c r="T66" i="6"/>
  <c r="R66" i="6"/>
  <c r="U66" i="6"/>
  <c r="S66" i="6"/>
  <c r="Q66" i="6"/>
  <c r="E66" i="6"/>
  <c r="D66" i="6"/>
  <c r="B66" i="6"/>
  <c r="A66" i="6"/>
  <c r="K64" i="6"/>
  <c r="P64" i="6"/>
  <c r="I64" i="6"/>
  <c r="K63" i="6"/>
  <c r="H63" i="6"/>
  <c r="G63" i="6"/>
  <c r="E63" i="6"/>
  <c r="J62" i="6"/>
  <c r="E62" i="6"/>
  <c r="J61" i="6"/>
  <c r="E61" i="6"/>
  <c r="J60" i="6"/>
  <c r="E60" i="6"/>
  <c r="J59" i="6"/>
  <c r="I59" i="6"/>
  <c r="H59" i="6"/>
  <c r="F59" i="6"/>
  <c r="V59" i="6"/>
  <c r="T59" i="6"/>
  <c r="R59" i="6"/>
  <c r="U59" i="6"/>
  <c r="S59" i="6"/>
  <c r="Q59" i="6"/>
  <c r="E59" i="6"/>
  <c r="D59" i="6"/>
  <c r="B59" i="6"/>
  <c r="A59" i="6"/>
  <c r="J58" i="6"/>
  <c r="I58" i="6"/>
  <c r="H58" i="6"/>
  <c r="G58" i="6"/>
  <c r="F58" i="6"/>
  <c r="J57" i="6"/>
  <c r="I57" i="6"/>
  <c r="H57" i="6"/>
  <c r="G57" i="6"/>
  <c r="F57" i="6"/>
  <c r="J56" i="6"/>
  <c r="I56" i="6"/>
  <c r="H56" i="6"/>
  <c r="G56" i="6"/>
  <c r="F56" i="6"/>
  <c r="C55" i="6"/>
  <c r="V54" i="6"/>
  <c r="T54" i="6"/>
  <c r="R54" i="6"/>
  <c r="U54" i="6"/>
  <c r="S54" i="6"/>
  <c r="Q54" i="6"/>
  <c r="E54" i="6"/>
  <c r="D54" i="6"/>
  <c r="B54" i="6"/>
  <c r="A54" i="6"/>
  <c r="K52" i="6"/>
  <c r="P52" i="6"/>
  <c r="I52" i="6"/>
  <c r="K51" i="6"/>
  <c r="H51" i="6"/>
  <c r="G51" i="6"/>
  <c r="E51" i="6"/>
  <c r="J50" i="6"/>
  <c r="E50" i="6"/>
  <c r="J49" i="6"/>
  <c r="E49" i="6"/>
  <c r="J48" i="6"/>
  <c r="E48" i="6"/>
  <c r="J47" i="6"/>
  <c r="I47" i="6"/>
  <c r="H47" i="6"/>
  <c r="F47" i="6"/>
  <c r="V47" i="6"/>
  <c r="T47" i="6"/>
  <c r="R47" i="6"/>
  <c r="U47" i="6"/>
  <c r="S47" i="6"/>
  <c r="Q47" i="6"/>
  <c r="E47" i="6"/>
  <c r="D47" i="6"/>
  <c r="B47" i="6"/>
  <c r="A47" i="6"/>
  <c r="J46" i="6"/>
  <c r="I46" i="6"/>
  <c r="H46" i="6"/>
  <c r="F46" i="6"/>
  <c r="V46" i="6"/>
  <c r="T46" i="6"/>
  <c r="R46" i="6"/>
  <c r="U46" i="6"/>
  <c r="S46" i="6"/>
  <c r="Q46" i="6"/>
  <c r="E46" i="6"/>
  <c r="D46" i="6"/>
  <c r="B46" i="6"/>
  <c r="A46" i="6"/>
  <c r="J45" i="6"/>
  <c r="I45" i="6"/>
  <c r="H45" i="6"/>
  <c r="G45" i="6"/>
  <c r="F45" i="6"/>
  <c r="J44" i="6"/>
  <c r="I44" i="6"/>
  <c r="H44" i="6"/>
  <c r="G44" i="6"/>
  <c r="F44" i="6"/>
  <c r="J43" i="6"/>
  <c r="I43" i="6"/>
  <c r="H43" i="6"/>
  <c r="G43" i="6"/>
  <c r="F43" i="6"/>
  <c r="J42" i="6"/>
  <c r="I42" i="6"/>
  <c r="H42" i="6"/>
  <c r="G42" i="6"/>
  <c r="F42" i="6"/>
  <c r="C41" i="6"/>
  <c r="V40" i="6"/>
  <c r="T40" i="6"/>
  <c r="R40" i="6"/>
  <c r="U40" i="6"/>
  <c r="S40" i="6"/>
  <c r="Q40" i="6"/>
  <c r="E40" i="6"/>
  <c r="D40" i="6"/>
  <c r="B40" i="6"/>
  <c r="A40" i="6"/>
  <c r="K38" i="6"/>
  <c r="P38" i="6"/>
  <c r="I38" i="6"/>
  <c r="K37" i="6"/>
  <c r="H37" i="6"/>
  <c r="G37" i="6"/>
  <c r="E37" i="6"/>
  <c r="J36" i="6"/>
  <c r="E36" i="6"/>
  <c r="J35" i="6"/>
  <c r="E35" i="6"/>
  <c r="J34" i="6"/>
  <c r="E34" i="6"/>
  <c r="J33" i="6"/>
  <c r="I33" i="6"/>
  <c r="H33" i="6"/>
  <c r="F33" i="6"/>
  <c r="V33" i="6"/>
  <c r="T33" i="6"/>
  <c r="R33" i="6"/>
  <c r="U33" i="6"/>
  <c r="S33" i="6"/>
  <c r="Q33" i="6"/>
  <c r="E33" i="6"/>
  <c r="D33" i="6"/>
  <c r="B33" i="6"/>
  <c r="A33" i="6"/>
  <c r="J32" i="6"/>
  <c r="I32" i="6"/>
  <c r="H32" i="6"/>
  <c r="F32" i="6"/>
  <c r="V32" i="6"/>
  <c r="T32" i="6"/>
  <c r="R32" i="6"/>
  <c r="U32" i="6"/>
  <c r="S32" i="6"/>
  <c r="Q32" i="6"/>
  <c r="E32" i="6"/>
  <c r="D32" i="6"/>
  <c r="B32" i="6"/>
  <c r="A32" i="6"/>
  <c r="J31" i="6"/>
  <c r="I31" i="6"/>
  <c r="H31" i="6"/>
  <c r="F31" i="6"/>
  <c r="V31" i="6"/>
  <c r="T31" i="6"/>
  <c r="R31" i="6"/>
  <c r="U31" i="6"/>
  <c r="S31" i="6"/>
  <c r="Q31" i="6"/>
  <c r="E31" i="6"/>
  <c r="D31" i="6"/>
  <c r="B31" i="6"/>
  <c r="A31" i="6"/>
  <c r="J30" i="6"/>
  <c r="I30" i="6"/>
  <c r="H30" i="6"/>
  <c r="F30" i="6"/>
  <c r="V30" i="6"/>
  <c r="T30" i="6"/>
  <c r="R30" i="6"/>
  <c r="U30" i="6"/>
  <c r="S30" i="6"/>
  <c r="Q30" i="6"/>
  <c r="E30" i="6"/>
  <c r="D30" i="6"/>
  <c r="B30" i="6"/>
  <c r="A30" i="6"/>
  <c r="J29" i="6"/>
  <c r="I29" i="6"/>
  <c r="H29" i="6"/>
  <c r="F29" i="6"/>
  <c r="V29" i="6"/>
  <c r="T29" i="6"/>
  <c r="R29" i="6"/>
  <c r="U29" i="6"/>
  <c r="S29" i="6"/>
  <c r="Q29" i="6"/>
  <c r="E29" i="6"/>
  <c r="D29" i="6"/>
  <c r="B29" i="6"/>
  <c r="A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C24" i="6"/>
  <c r="V23" i="6"/>
  <c r="T23" i="6"/>
  <c r="R23" i="6"/>
  <c r="U23" i="6"/>
  <c r="S23" i="6"/>
  <c r="Q23" i="6"/>
  <c r="E23" i="6"/>
  <c r="D23" i="6"/>
  <c r="B23" i="6"/>
  <c r="A23" i="6"/>
  <c r="A22" i="6"/>
  <c r="C12" i="6"/>
  <c r="C10" i="6"/>
  <c r="C5" i="6"/>
  <c r="C3" i="6"/>
  <c r="A1" i="6"/>
  <c r="H381" i="5"/>
  <c r="H378" i="5"/>
  <c r="C381" i="5"/>
  <c r="C378" i="5"/>
  <c r="I375" i="5"/>
  <c r="C375" i="5"/>
  <c r="I374" i="5"/>
  <c r="C374" i="5"/>
  <c r="I373" i="5"/>
  <c r="C373" i="5"/>
  <c r="I22" i="5"/>
  <c r="I19" i="5"/>
  <c r="I18" i="5"/>
  <c r="I17" i="5"/>
  <c r="I16" i="5"/>
  <c r="I15" i="5"/>
  <c r="I14" i="5"/>
  <c r="I20" i="5"/>
  <c r="I372" i="5"/>
  <c r="I371" i="5"/>
  <c r="I370" i="5"/>
  <c r="A370" i="5"/>
  <c r="I368" i="5"/>
  <c r="I367" i="5"/>
  <c r="I366" i="5"/>
  <c r="A366" i="5"/>
  <c r="K363" i="5"/>
  <c r="P363" i="5"/>
  <c r="I363" i="5"/>
  <c r="K362" i="5"/>
  <c r="H362" i="5"/>
  <c r="G362" i="5"/>
  <c r="E362" i="5"/>
  <c r="J361" i="5"/>
  <c r="E361" i="5"/>
  <c r="J360" i="5"/>
  <c r="E360" i="5"/>
  <c r="J359" i="5"/>
  <c r="E359" i="5"/>
  <c r="J358" i="5"/>
  <c r="I358" i="5"/>
  <c r="H358" i="5"/>
  <c r="F358" i="5"/>
  <c r="V358" i="5"/>
  <c r="T358" i="5"/>
  <c r="R358" i="5"/>
  <c r="U358" i="5"/>
  <c r="S358" i="5"/>
  <c r="Q358" i="5"/>
  <c r="E358" i="5"/>
  <c r="D358" i="5"/>
  <c r="B358" i="5"/>
  <c r="A358" i="5"/>
  <c r="J357" i="5"/>
  <c r="I357" i="5"/>
  <c r="H357" i="5"/>
  <c r="G357" i="5"/>
  <c r="F357" i="5"/>
  <c r="J356" i="5"/>
  <c r="I356" i="5"/>
  <c r="H356" i="5"/>
  <c r="G356" i="5"/>
  <c r="F356" i="5"/>
  <c r="J355" i="5"/>
  <c r="I355" i="5"/>
  <c r="H355" i="5"/>
  <c r="G355" i="5"/>
  <c r="F355" i="5"/>
  <c r="J354" i="5"/>
  <c r="I354" i="5"/>
  <c r="H354" i="5"/>
  <c r="G354" i="5"/>
  <c r="F354" i="5"/>
  <c r="C353" i="5"/>
  <c r="V352" i="5"/>
  <c r="T352" i="5"/>
  <c r="R352" i="5"/>
  <c r="U352" i="5"/>
  <c r="S352" i="5"/>
  <c r="Q352" i="5"/>
  <c r="E352" i="5"/>
  <c r="D352" i="5"/>
  <c r="B352" i="5"/>
  <c r="A352" i="5"/>
  <c r="K350" i="5"/>
  <c r="P350" i="5"/>
  <c r="I350" i="5"/>
  <c r="K349" i="5"/>
  <c r="H349" i="5"/>
  <c r="G349" i="5"/>
  <c r="E349" i="5"/>
  <c r="J348" i="5"/>
  <c r="E348" i="5"/>
  <c r="J347" i="5"/>
  <c r="E347" i="5"/>
  <c r="J346" i="5"/>
  <c r="E346" i="5"/>
  <c r="J345" i="5"/>
  <c r="I345" i="5"/>
  <c r="H345" i="5"/>
  <c r="F345" i="5"/>
  <c r="V345" i="5"/>
  <c r="T345" i="5"/>
  <c r="R345" i="5"/>
  <c r="U345" i="5"/>
  <c r="S345" i="5"/>
  <c r="Q345" i="5"/>
  <c r="E345" i="5"/>
  <c r="D345" i="5"/>
  <c r="B345" i="5"/>
  <c r="A345" i="5"/>
  <c r="J344" i="5"/>
  <c r="I344" i="5"/>
  <c r="H344" i="5"/>
  <c r="G344" i="5"/>
  <c r="F344" i="5"/>
  <c r="J343" i="5"/>
  <c r="I343" i="5"/>
  <c r="H343" i="5"/>
  <c r="G343" i="5"/>
  <c r="F343" i="5"/>
  <c r="J342" i="5"/>
  <c r="I342" i="5"/>
  <c r="H342" i="5"/>
  <c r="G342" i="5"/>
  <c r="F342" i="5"/>
  <c r="J341" i="5"/>
  <c r="I341" i="5"/>
  <c r="H341" i="5"/>
  <c r="G341" i="5"/>
  <c r="F341" i="5"/>
  <c r="C340" i="5"/>
  <c r="V339" i="5"/>
  <c r="T339" i="5"/>
  <c r="R339" i="5"/>
  <c r="U339" i="5"/>
  <c r="S339" i="5"/>
  <c r="Q339" i="5"/>
  <c r="E339" i="5"/>
  <c r="D339" i="5"/>
  <c r="B339" i="5"/>
  <c r="A339" i="5"/>
  <c r="K337" i="5"/>
  <c r="P337" i="5"/>
  <c r="I337" i="5"/>
  <c r="K336" i="5"/>
  <c r="H336" i="5"/>
  <c r="G336" i="5"/>
  <c r="E336" i="5"/>
  <c r="J335" i="5"/>
  <c r="E335" i="5"/>
  <c r="J334" i="5"/>
  <c r="E334" i="5"/>
  <c r="J333" i="5"/>
  <c r="E333" i="5"/>
  <c r="J332" i="5"/>
  <c r="I332" i="5"/>
  <c r="H332" i="5"/>
  <c r="F332" i="5"/>
  <c r="V332" i="5"/>
  <c r="T332" i="5"/>
  <c r="R332" i="5"/>
  <c r="U332" i="5"/>
  <c r="S332" i="5"/>
  <c r="Q332" i="5"/>
  <c r="E332" i="5"/>
  <c r="D332" i="5"/>
  <c r="B332" i="5"/>
  <c r="A332" i="5"/>
  <c r="J331" i="5"/>
  <c r="I331" i="5"/>
  <c r="H331" i="5"/>
  <c r="G331" i="5"/>
  <c r="F331" i="5"/>
  <c r="J330" i="5"/>
  <c r="I330" i="5"/>
  <c r="H330" i="5"/>
  <c r="G330" i="5"/>
  <c r="F330" i="5"/>
  <c r="J329" i="5"/>
  <c r="I329" i="5"/>
  <c r="H329" i="5"/>
  <c r="G329" i="5"/>
  <c r="F329" i="5"/>
  <c r="J328" i="5"/>
  <c r="I328" i="5"/>
  <c r="H328" i="5"/>
  <c r="G328" i="5"/>
  <c r="F328" i="5"/>
  <c r="V327" i="5"/>
  <c r="T327" i="5"/>
  <c r="R327" i="5"/>
  <c r="U327" i="5"/>
  <c r="S327" i="5"/>
  <c r="Q327" i="5"/>
  <c r="E327" i="5"/>
  <c r="D327" i="5"/>
  <c r="B327" i="5"/>
  <c r="A327" i="5"/>
  <c r="K325" i="5"/>
  <c r="P325" i="5"/>
  <c r="I325" i="5"/>
  <c r="K324" i="5"/>
  <c r="H324" i="5"/>
  <c r="G324" i="5"/>
  <c r="E324" i="5"/>
  <c r="J323" i="5"/>
  <c r="E323" i="5"/>
  <c r="J322" i="5"/>
  <c r="E322" i="5"/>
  <c r="J321" i="5"/>
  <c r="E321" i="5"/>
  <c r="J320" i="5"/>
  <c r="I320" i="5"/>
  <c r="H320" i="5"/>
  <c r="F320" i="5"/>
  <c r="V320" i="5"/>
  <c r="T320" i="5"/>
  <c r="R320" i="5"/>
  <c r="U320" i="5"/>
  <c r="S320" i="5"/>
  <c r="Q320" i="5"/>
  <c r="E320" i="5"/>
  <c r="D320" i="5"/>
  <c r="B320" i="5"/>
  <c r="A320" i="5"/>
  <c r="J319" i="5"/>
  <c r="I319" i="5"/>
  <c r="H319" i="5"/>
  <c r="G319" i="5"/>
  <c r="F319" i="5"/>
  <c r="J318" i="5"/>
  <c r="I318" i="5"/>
  <c r="H318" i="5"/>
  <c r="G318" i="5"/>
  <c r="F318" i="5"/>
  <c r="J317" i="5"/>
  <c r="I317" i="5"/>
  <c r="H317" i="5"/>
  <c r="G317" i="5"/>
  <c r="F317" i="5"/>
  <c r="J316" i="5"/>
  <c r="I316" i="5"/>
  <c r="H316" i="5"/>
  <c r="G316" i="5"/>
  <c r="F316" i="5"/>
  <c r="C315" i="5"/>
  <c r="V314" i="5"/>
  <c r="T314" i="5"/>
  <c r="R314" i="5"/>
  <c r="U314" i="5"/>
  <c r="S314" i="5"/>
  <c r="Q314" i="5"/>
  <c r="E314" i="5"/>
  <c r="D314" i="5"/>
  <c r="B314" i="5"/>
  <c r="A314" i="5"/>
  <c r="K312" i="5"/>
  <c r="P312" i="5"/>
  <c r="I312" i="5"/>
  <c r="K311" i="5"/>
  <c r="H311" i="5"/>
  <c r="G311" i="5"/>
  <c r="E311" i="5"/>
  <c r="J310" i="5"/>
  <c r="E310" i="5"/>
  <c r="J309" i="5"/>
  <c r="E309" i="5"/>
  <c r="J308" i="5"/>
  <c r="E308" i="5"/>
  <c r="J307" i="5"/>
  <c r="I307" i="5"/>
  <c r="H307" i="5"/>
  <c r="F307" i="5"/>
  <c r="V307" i="5"/>
  <c r="T307" i="5"/>
  <c r="R307" i="5"/>
  <c r="U307" i="5"/>
  <c r="S307" i="5"/>
  <c r="Q307" i="5"/>
  <c r="E307" i="5"/>
  <c r="D307" i="5"/>
  <c r="B307" i="5"/>
  <c r="A307" i="5"/>
  <c r="J306" i="5"/>
  <c r="I306" i="5"/>
  <c r="H306" i="5"/>
  <c r="F306" i="5"/>
  <c r="V306" i="5"/>
  <c r="T306" i="5"/>
  <c r="R306" i="5"/>
  <c r="U306" i="5"/>
  <c r="S306" i="5"/>
  <c r="Q306" i="5"/>
  <c r="E306" i="5"/>
  <c r="D306" i="5"/>
  <c r="B306" i="5"/>
  <c r="A306" i="5"/>
  <c r="J305" i="5"/>
  <c r="I305" i="5"/>
  <c r="H305" i="5"/>
  <c r="G305" i="5"/>
  <c r="F305" i="5"/>
  <c r="J304" i="5"/>
  <c r="I304" i="5"/>
  <c r="H304" i="5"/>
  <c r="G304" i="5"/>
  <c r="F304" i="5"/>
  <c r="J303" i="5"/>
  <c r="I303" i="5"/>
  <c r="H303" i="5"/>
  <c r="G303" i="5"/>
  <c r="F303" i="5"/>
  <c r="J302" i="5"/>
  <c r="I302" i="5"/>
  <c r="H302" i="5"/>
  <c r="G302" i="5"/>
  <c r="F302" i="5"/>
  <c r="C301" i="5"/>
  <c r="V300" i="5"/>
  <c r="T300" i="5"/>
  <c r="R300" i="5"/>
  <c r="U300" i="5"/>
  <c r="S300" i="5"/>
  <c r="Q300" i="5"/>
  <c r="E300" i="5"/>
  <c r="D300" i="5"/>
  <c r="B300" i="5"/>
  <c r="A300" i="5"/>
  <c r="K298" i="5"/>
  <c r="P298" i="5"/>
  <c r="I298" i="5"/>
  <c r="K297" i="5"/>
  <c r="H297" i="5"/>
  <c r="G297" i="5"/>
  <c r="E297" i="5"/>
  <c r="J296" i="5"/>
  <c r="E296" i="5"/>
  <c r="J295" i="5"/>
  <c r="E295" i="5"/>
  <c r="J294" i="5"/>
  <c r="E294" i="5"/>
  <c r="J293" i="5"/>
  <c r="I293" i="5"/>
  <c r="H293" i="5"/>
  <c r="F293" i="5"/>
  <c r="V293" i="5"/>
  <c r="T293" i="5"/>
  <c r="R293" i="5"/>
  <c r="U293" i="5"/>
  <c r="S293" i="5"/>
  <c r="Q293" i="5"/>
  <c r="E293" i="5"/>
  <c r="D293" i="5"/>
  <c r="B293" i="5"/>
  <c r="A293" i="5"/>
  <c r="J292" i="5"/>
  <c r="I292" i="5"/>
  <c r="H292" i="5"/>
  <c r="G292" i="5"/>
  <c r="F292" i="5"/>
  <c r="J291" i="5"/>
  <c r="I291" i="5"/>
  <c r="H291" i="5"/>
  <c r="G291" i="5"/>
  <c r="F291" i="5"/>
  <c r="J290" i="5"/>
  <c r="I290" i="5"/>
  <c r="H290" i="5"/>
  <c r="G290" i="5"/>
  <c r="F290" i="5"/>
  <c r="J289" i="5"/>
  <c r="I289" i="5"/>
  <c r="H289" i="5"/>
  <c r="G289" i="5"/>
  <c r="F289" i="5"/>
  <c r="C288" i="5"/>
  <c r="V287" i="5"/>
  <c r="T287" i="5"/>
  <c r="R287" i="5"/>
  <c r="U287" i="5"/>
  <c r="S287" i="5"/>
  <c r="Q287" i="5"/>
  <c r="E287" i="5"/>
  <c r="D287" i="5"/>
  <c r="B287" i="5"/>
  <c r="A287" i="5"/>
  <c r="K285" i="5"/>
  <c r="P285" i="5"/>
  <c r="I285" i="5"/>
  <c r="K284" i="5"/>
  <c r="H284" i="5"/>
  <c r="G284" i="5"/>
  <c r="E284" i="5"/>
  <c r="J283" i="5"/>
  <c r="E283" i="5"/>
  <c r="J282" i="5"/>
  <c r="E282" i="5"/>
  <c r="J281" i="5"/>
  <c r="E281" i="5"/>
  <c r="J280" i="5"/>
  <c r="I280" i="5"/>
  <c r="H280" i="5"/>
  <c r="F280" i="5"/>
  <c r="V280" i="5"/>
  <c r="T280" i="5"/>
  <c r="R280" i="5"/>
  <c r="U280" i="5"/>
  <c r="S280" i="5"/>
  <c r="Q280" i="5"/>
  <c r="E280" i="5"/>
  <c r="D280" i="5"/>
  <c r="B280" i="5"/>
  <c r="A280" i="5"/>
  <c r="J279" i="5"/>
  <c r="I279" i="5"/>
  <c r="H279" i="5"/>
  <c r="F279" i="5"/>
  <c r="V279" i="5"/>
  <c r="T279" i="5"/>
  <c r="R279" i="5"/>
  <c r="U279" i="5"/>
  <c r="S279" i="5"/>
  <c r="Q279" i="5"/>
  <c r="E279" i="5"/>
  <c r="D279" i="5"/>
  <c r="B279" i="5"/>
  <c r="A279" i="5"/>
  <c r="J278" i="5"/>
  <c r="I278" i="5"/>
  <c r="H278" i="5"/>
  <c r="F278" i="5"/>
  <c r="V278" i="5"/>
  <c r="T278" i="5"/>
  <c r="R278" i="5"/>
  <c r="U278" i="5"/>
  <c r="S278" i="5"/>
  <c r="Q278" i="5"/>
  <c r="E278" i="5"/>
  <c r="D278" i="5"/>
  <c r="B278" i="5"/>
  <c r="A278" i="5"/>
  <c r="J277" i="5"/>
  <c r="I277" i="5"/>
  <c r="H277" i="5"/>
  <c r="F277" i="5"/>
  <c r="V277" i="5"/>
  <c r="T277" i="5"/>
  <c r="R277" i="5"/>
  <c r="U277" i="5"/>
  <c r="S277" i="5"/>
  <c r="Q277" i="5"/>
  <c r="E277" i="5"/>
  <c r="D277" i="5"/>
  <c r="B277" i="5"/>
  <c r="A277" i="5"/>
  <c r="J276" i="5"/>
  <c r="I276" i="5"/>
  <c r="H276" i="5"/>
  <c r="F276" i="5"/>
  <c r="V276" i="5"/>
  <c r="T276" i="5"/>
  <c r="R276" i="5"/>
  <c r="U276" i="5"/>
  <c r="S276" i="5"/>
  <c r="Q276" i="5"/>
  <c r="E276" i="5"/>
  <c r="D276" i="5"/>
  <c r="B276" i="5"/>
  <c r="A276" i="5"/>
  <c r="J275" i="5"/>
  <c r="I275" i="5"/>
  <c r="H275" i="5"/>
  <c r="G275" i="5"/>
  <c r="F275" i="5"/>
  <c r="J274" i="5"/>
  <c r="I274" i="5"/>
  <c r="H274" i="5"/>
  <c r="G274" i="5"/>
  <c r="F274" i="5"/>
  <c r="J273" i="5"/>
  <c r="I273" i="5"/>
  <c r="H273" i="5"/>
  <c r="G273" i="5"/>
  <c r="F273" i="5"/>
  <c r="J272" i="5"/>
  <c r="I272" i="5"/>
  <c r="H272" i="5"/>
  <c r="G272" i="5"/>
  <c r="F272" i="5"/>
  <c r="C271" i="5"/>
  <c r="V270" i="5"/>
  <c r="T270" i="5"/>
  <c r="R270" i="5"/>
  <c r="U270" i="5"/>
  <c r="S270" i="5"/>
  <c r="Q270" i="5"/>
  <c r="E270" i="5"/>
  <c r="D270" i="5"/>
  <c r="B270" i="5"/>
  <c r="A270" i="5"/>
  <c r="K268" i="5"/>
  <c r="P268" i="5"/>
  <c r="I268" i="5"/>
  <c r="K267" i="5"/>
  <c r="H267" i="5"/>
  <c r="G267" i="5"/>
  <c r="E267" i="5"/>
  <c r="J266" i="5"/>
  <c r="E266" i="5"/>
  <c r="J265" i="5"/>
  <c r="E265" i="5"/>
  <c r="J264" i="5"/>
  <c r="E264" i="5"/>
  <c r="J263" i="5"/>
  <c r="I263" i="5"/>
  <c r="H263" i="5"/>
  <c r="F263" i="5"/>
  <c r="V263" i="5"/>
  <c r="T263" i="5"/>
  <c r="R263" i="5"/>
  <c r="U263" i="5"/>
  <c r="S263" i="5"/>
  <c r="Q263" i="5"/>
  <c r="E263" i="5"/>
  <c r="D263" i="5"/>
  <c r="B263" i="5"/>
  <c r="A263" i="5"/>
  <c r="J262" i="5"/>
  <c r="I262" i="5"/>
  <c r="H262" i="5"/>
  <c r="F262" i="5"/>
  <c r="V262" i="5"/>
  <c r="T262" i="5"/>
  <c r="R262" i="5"/>
  <c r="U262" i="5"/>
  <c r="S262" i="5"/>
  <c r="Q262" i="5"/>
  <c r="E262" i="5"/>
  <c r="D262" i="5"/>
  <c r="B262" i="5"/>
  <c r="A262" i="5"/>
  <c r="J261" i="5"/>
  <c r="I261" i="5"/>
  <c r="H261" i="5"/>
  <c r="F261" i="5"/>
  <c r="V261" i="5"/>
  <c r="T261" i="5"/>
  <c r="R261" i="5"/>
  <c r="U261" i="5"/>
  <c r="S261" i="5"/>
  <c r="Q261" i="5"/>
  <c r="E261" i="5"/>
  <c r="D261" i="5"/>
  <c r="B261" i="5"/>
  <c r="A261" i="5"/>
  <c r="J260" i="5"/>
  <c r="I260" i="5"/>
  <c r="H260" i="5"/>
  <c r="G260" i="5"/>
  <c r="F260" i="5"/>
  <c r="J259" i="5"/>
  <c r="I259" i="5"/>
  <c r="H259" i="5"/>
  <c r="G259" i="5"/>
  <c r="F259" i="5"/>
  <c r="J258" i="5"/>
  <c r="I258" i="5"/>
  <c r="H258" i="5"/>
  <c r="G258" i="5"/>
  <c r="F258" i="5"/>
  <c r="J257" i="5"/>
  <c r="I257" i="5"/>
  <c r="H257" i="5"/>
  <c r="G257" i="5"/>
  <c r="F257" i="5"/>
  <c r="C256" i="5"/>
  <c r="V255" i="5"/>
  <c r="T255" i="5"/>
  <c r="R255" i="5"/>
  <c r="U255" i="5"/>
  <c r="S255" i="5"/>
  <c r="Q255" i="5"/>
  <c r="E255" i="5"/>
  <c r="D255" i="5"/>
  <c r="B255" i="5"/>
  <c r="A255" i="5"/>
  <c r="K253" i="5"/>
  <c r="P253" i="5"/>
  <c r="I253" i="5"/>
  <c r="K252" i="5"/>
  <c r="H252" i="5"/>
  <c r="G252" i="5"/>
  <c r="E252" i="5"/>
  <c r="J251" i="5"/>
  <c r="E251" i="5"/>
  <c r="J250" i="5"/>
  <c r="E250" i="5"/>
  <c r="J249" i="5"/>
  <c r="E249" i="5"/>
  <c r="J248" i="5"/>
  <c r="I248" i="5"/>
  <c r="H248" i="5"/>
  <c r="F248" i="5"/>
  <c r="V248" i="5"/>
  <c r="T248" i="5"/>
  <c r="R248" i="5"/>
  <c r="U248" i="5"/>
  <c r="S248" i="5"/>
  <c r="Q248" i="5"/>
  <c r="E248" i="5"/>
  <c r="D248" i="5"/>
  <c r="B248" i="5"/>
  <c r="A248" i="5"/>
  <c r="J247" i="5"/>
  <c r="I247" i="5"/>
  <c r="H247" i="5"/>
  <c r="G247" i="5"/>
  <c r="F247" i="5"/>
  <c r="J246" i="5"/>
  <c r="I246" i="5"/>
  <c r="H246" i="5"/>
  <c r="G246" i="5"/>
  <c r="F246" i="5"/>
  <c r="J245" i="5"/>
  <c r="I245" i="5"/>
  <c r="H245" i="5"/>
  <c r="G245" i="5"/>
  <c r="F245" i="5"/>
  <c r="C244" i="5"/>
  <c r="V243" i="5"/>
  <c r="T243" i="5"/>
  <c r="R243" i="5"/>
  <c r="U243" i="5"/>
  <c r="S243" i="5"/>
  <c r="Q243" i="5"/>
  <c r="E243" i="5"/>
  <c r="D243" i="5"/>
  <c r="B243" i="5"/>
  <c r="A243" i="5"/>
  <c r="K241" i="5"/>
  <c r="P241" i="5"/>
  <c r="I241" i="5"/>
  <c r="K240" i="5"/>
  <c r="H240" i="5"/>
  <c r="G240" i="5"/>
  <c r="E240" i="5"/>
  <c r="J239" i="5"/>
  <c r="E239" i="5"/>
  <c r="J238" i="5"/>
  <c r="E238" i="5"/>
  <c r="J237" i="5"/>
  <c r="E237" i="5"/>
  <c r="J236" i="5"/>
  <c r="I236" i="5"/>
  <c r="H236" i="5"/>
  <c r="F236" i="5"/>
  <c r="V236" i="5"/>
  <c r="T236" i="5"/>
  <c r="R236" i="5"/>
  <c r="U236" i="5"/>
  <c r="S236" i="5"/>
  <c r="Q236" i="5"/>
  <c r="E236" i="5"/>
  <c r="D236" i="5"/>
  <c r="B236" i="5"/>
  <c r="A236" i="5"/>
  <c r="J235" i="5"/>
  <c r="I235" i="5"/>
  <c r="H235" i="5"/>
  <c r="F235" i="5"/>
  <c r="V235" i="5"/>
  <c r="T235" i="5"/>
  <c r="R235" i="5"/>
  <c r="U235" i="5"/>
  <c r="S235" i="5"/>
  <c r="Q235" i="5"/>
  <c r="E235" i="5"/>
  <c r="D235" i="5"/>
  <c r="B235" i="5"/>
  <c r="A235" i="5"/>
  <c r="J234" i="5"/>
  <c r="I234" i="5"/>
  <c r="H234" i="5"/>
  <c r="G234" i="5"/>
  <c r="F234" i="5"/>
  <c r="J233" i="5"/>
  <c r="I233" i="5"/>
  <c r="H233" i="5"/>
  <c r="G233" i="5"/>
  <c r="F233" i="5"/>
  <c r="J232" i="5"/>
  <c r="I232" i="5"/>
  <c r="H232" i="5"/>
  <c r="G232" i="5"/>
  <c r="F232" i="5"/>
  <c r="J231" i="5"/>
  <c r="I231" i="5"/>
  <c r="H231" i="5"/>
  <c r="G231" i="5"/>
  <c r="F231" i="5"/>
  <c r="C230" i="5"/>
  <c r="V229" i="5"/>
  <c r="T229" i="5"/>
  <c r="R229" i="5"/>
  <c r="U229" i="5"/>
  <c r="S229" i="5"/>
  <c r="Q229" i="5"/>
  <c r="E229" i="5"/>
  <c r="D229" i="5"/>
  <c r="B229" i="5"/>
  <c r="A229" i="5"/>
  <c r="K227" i="5"/>
  <c r="P227" i="5"/>
  <c r="I227" i="5"/>
  <c r="K226" i="5"/>
  <c r="H226" i="5"/>
  <c r="G226" i="5"/>
  <c r="E226" i="5"/>
  <c r="J225" i="5"/>
  <c r="E225" i="5"/>
  <c r="J224" i="5"/>
  <c r="E224" i="5"/>
  <c r="J223" i="5"/>
  <c r="E223" i="5"/>
  <c r="J222" i="5"/>
  <c r="I222" i="5"/>
  <c r="H222" i="5"/>
  <c r="F222" i="5"/>
  <c r="V222" i="5"/>
  <c r="T222" i="5"/>
  <c r="R222" i="5"/>
  <c r="U222" i="5"/>
  <c r="S222" i="5"/>
  <c r="Q222" i="5"/>
  <c r="E222" i="5"/>
  <c r="D222" i="5"/>
  <c r="B222" i="5"/>
  <c r="A222" i="5"/>
  <c r="J221" i="5"/>
  <c r="I221" i="5"/>
  <c r="H221" i="5"/>
  <c r="G221" i="5"/>
  <c r="F221" i="5"/>
  <c r="J220" i="5"/>
  <c r="I220" i="5"/>
  <c r="H220" i="5"/>
  <c r="G220" i="5"/>
  <c r="F220" i="5"/>
  <c r="J219" i="5"/>
  <c r="I219" i="5"/>
  <c r="H219" i="5"/>
  <c r="G219" i="5"/>
  <c r="F219" i="5"/>
  <c r="C218" i="5"/>
  <c r="V217" i="5"/>
  <c r="T217" i="5"/>
  <c r="R217" i="5"/>
  <c r="U217" i="5"/>
  <c r="S217" i="5"/>
  <c r="Q217" i="5"/>
  <c r="E217" i="5"/>
  <c r="D217" i="5"/>
  <c r="B217" i="5"/>
  <c r="A217" i="5"/>
  <c r="K215" i="5"/>
  <c r="P215" i="5"/>
  <c r="I215" i="5"/>
  <c r="K214" i="5"/>
  <c r="H214" i="5"/>
  <c r="G214" i="5"/>
  <c r="E214" i="5"/>
  <c r="J213" i="5"/>
  <c r="E213" i="5"/>
  <c r="J212" i="5"/>
  <c r="E212" i="5"/>
  <c r="J211" i="5"/>
  <c r="E211" i="5"/>
  <c r="J210" i="5"/>
  <c r="I210" i="5"/>
  <c r="H210" i="5"/>
  <c r="F210" i="5"/>
  <c r="V210" i="5"/>
  <c r="T210" i="5"/>
  <c r="R210" i="5"/>
  <c r="U210" i="5"/>
  <c r="S210" i="5"/>
  <c r="Q210" i="5"/>
  <c r="E210" i="5"/>
  <c r="D210" i="5"/>
  <c r="B210" i="5"/>
  <c r="A210" i="5"/>
  <c r="J209" i="5"/>
  <c r="I209" i="5"/>
  <c r="H209" i="5"/>
  <c r="F209" i="5"/>
  <c r="V209" i="5"/>
  <c r="T209" i="5"/>
  <c r="R209" i="5"/>
  <c r="U209" i="5"/>
  <c r="S209" i="5"/>
  <c r="Q209" i="5"/>
  <c r="E209" i="5"/>
  <c r="D209" i="5"/>
  <c r="B209" i="5"/>
  <c r="A209" i="5"/>
  <c r="J208" i="5"/>
  <c r="I208" i="5"/>
  <c r="H208" i="5"/>
  <c r="G208" i="5"/>
  <c r="F208" i="5"/>
  <c r="J207" i="5"/>
  <c r="I207" i="5"/>
  <c r="H207" i="5"/>
  <c r="G207" i="5"/>
  <c r="F207" i="5"/>
  <c r="J206" i="5"/>
  <c r="I206" i="5"/>
  <c r="H206" i="5"/>
  <c r="G206" i="5"/>
  <c r="F206" i="5"/>
  <c r="C205" i="5"/>
  <c r="V204" i="5"/>
  <c r="T204" i="5"/>
  <c r="R204" i="5"/>
  <c r="U204" i="5"/>
  <c r="S204" i="5"/>
  <c r="Q204" i="5"/>
  <c r="E204" i="5"/>
  <c r="D204" i="5"/>
  <c r="B204" i="5"/>
  <c r="A204" i="5"/>
  <c r="K202" i="5"/>
  <c r="P202" i="5"/>
  <c r="I202" i="5"/>
  <c r="K201" i="5"/>
  <c r="H201" i="5"/>
  <c r="G201" i="5"/>
  <c r="E201" i="5"/>
  <c r="J200" i="5"/>
  <c r="E200" i="5"/>
  <c r="J199" i="5"/>
  <c r="E199" i="5"/>
  <c r="J198" i="5"/>
  <c r="E198" i="5"/>
  <c r="J197" i="5"/>
  <c r="I197" i="5"/>
  <c r="H197" i="5"/>
  <c r="F197" i="5"/>
  <c r="V197" i="5"/>
  <c r="T197" i="5"/>
  <c r="R197" i="5"/>
  <c r="U197" i="5"/>
  <c r="S197" i="5"/>
  <c r="Q197" i="5"/>
  <c r="E197" i="5"/>
  <c r="D197" i="5"/>
  <c r="B197" i="5"/>
  <c r="A197" i="5"/>
  <c r="J196" i="5"/>
  <c r="I196" i="5"/>
  <c r="H196" i="5"/>
  <c r="F196" i="5"/>
  <c r="V196" i="5"/>
  <c r="T196" i="5"/>
  <c r="R196" i="5"/>
  <c r="U196" i="5"/>
  <c r="S196" i="5"/>
  <c r="Q196" i="5"/>
  <c r="E196" i="5"/>
  <c r="D196" i="5"/>
  <c r="B196" i="5"/>
  <c r="A196" i="5"/>
  <c r="J195" i="5"/>
  <c r="I195" i="5"/>
  <c r="H195" i="5"/>
  <c r="G195" i="5"/>
  <c r="F195" i="5"/>
  <c r="J194" i="5"/>
  <c r="I194" i="5"/>
  <c r="H194" i="5"/>
  <c r="G194" i="5"/>
  <c r="F194" i="5"/>
  <c r="J193" i="5"/>
  <c r="I193" i="5"/>
  <c r="H193" i="5"/>
  <c r="G193" i="5"/>
  <c r="F193" i="5"/>
  <c r="J192" i="5"/>
  <c r="I192" i="5"/>
  <c r="H192" i="5"/>
  <c r="G192" i="5"/>
  <c r="F192" i="5"/>
  <c r="C191" i="5"/>
  <c r="V190" i="5"/>
  <c r="T190" i="5"/>
  <c r="R190" i="5"/>
  <c r="U190" i="5"/>
  <c r="S190" i="5"/>
  <c r="Q190" i="5"/>
  <c r="E190" i="5"/>
  <c r="D190" i="5"/>
  <c r="B190" i="5"/>
  <c r="A190" i="5"/>
  <c r="K188" i="5"/>
  <c r="P188" i="5"/>
  <c r="I188" i="5"/>
  <c r="K187" i="5"/>
  <c r="H187" i="5"/>
  <c r="G187" i="5"/>
  <c r="E187" i="5"/>
  <c r="J186" i="5"/>
  <c r="E186" i="5"/>
  <c r="J185" i="5"/>
  <c r="E185" i="5"/>
  <c r="J184" i="5"/>
  <c r="E184" i="5"/>
  <c r="J183" i="5"/>
  <c r="I183" i="5"/>
  <c r="H183" i="5"/>
  <c r="F183" i="5"/>
  <c r="V183" i="5"/>
  <c r="T183" i="5"/>
  <c r="R183" i="5"/>
  <c r="U183" i="5"/>
  <c r="S183" i="5"/>
  <c r="Q183" i="5"/>
  <c r="E183" i="5"/>
  <c r="D183" i="5"/>
  <c r="B183" i="5"/>
  <c r="A183" i="5"/>
  <c r="J182" i="5"/>
  <c r="I182" i="5"/>
  <c r="H182" i="5"/>
  <c r="G182" i="5"/>
  <c r="F182" i="5"/>
  <c r="J181" i="5"/>
  <c r="I181" i="5"/>
  <c r="H181" i="5"/>
  <c r="G181" i="5"/>
  <c r="F181" i="5"/>
  <c r="J180" i="5"/>
  <c r="I180" i="5"/>
  <c r="H180" i="5"/>
  <c r="G180" i="5"/>
  <c r="F180" i="5"/>
  <c r="J179" i="5"/>
  <c r="I179" i="5"/>
  <c r="H179" i="5"/>
  <c r="G179" i="5"/>
  <c r="F179" i="5"/>
  <c r="C178" i="5"/>
  <c r="V177" i="5"/>
  <c r="T177" i="5"/>
  <c r="R177" i="5"/>
  <c r="U177" i="5"/>
  <c r="S177" i="5"/>
  <c r="Q177" i="5"/>
  <c r="E177" i="5"/>
  <c r="D177" i="5"/>
  <c r="B177" i="5"/>
  <c r="A177" i="5"/>
  <c r="K175" i="5"/>
  <c r="P175" i="5"/>
  <c r="I175" i="5"/>
  <c r="K174" i="5"/>
  <c r="H174" i="5"/>
  <c r="G174" i="5"/>
  <c r="E174" i="5"/>
  <c r="J173" i="5"/>
  <c r="E173" i="5"/>
  <c r="J172" i="5"/>
  <c r="E172" i="5"/>
  <c r="J171" i="5"/>
  <c r="E171" i="5"/>
  <c r="J170" i="5"/>
  <c r="I170" i="5"/>
  <c r="H170" i="5"/>
  <c r="F170" i="5"/>
  <c r="V170" i="5"/>
  <c r="T170" i="5"/>
  <c r="R170" i="5"/>
  <c r="U170" i="5"/>
  <c r="S170" i="5"/>
  <c r="Q170" i="5"/>
  <c r="E170" i="5"/>
  <c r="D170" i="5"/>
  <c r="B170" i="5"/>
  <c r="A170" i="5"/>
  <c r="J169" i="5"/>
  <c r="I169" i="5"/>
  <c r="H169" i="5"/>
  <c r="F169" i="5"/>
  <c r="V169" i="5"/>
  <c r="T169" i="5"/>
  <c r="R169" i="5"/>
  <c r="U169" i="5"/>
  <c r="S169" i="5"/>
  <c r="Q169" i="5"/>
  <c r="E169" i="5"/>
  <c r="D169" i="5"/>
  <c r="B169" i="5"/>
  <c r="A169" i="5"/>
  <c r="J168" i="5"/>
  <c r="I168" i="5"/>
  <c r="H168" i="5"/>
  <c r="G168" i="5"/>
  <c r="F168" i="5"/>
  <c r="J167" i="5"/>
  <c r="I167" i="5"/>
  <c r="H167" i="5"/>
  <c r="G167" i="5"/>
  <c r="F167" i="5"/>
  <c r="J166" i="5"/>
  <c r="I166" i="5"/>
  <c r="H166" i="5"/>
  <c r="G166" i="5"/>
  <c r="F166" i="5"/>
  <c r="J165" i="5"/>
  <c r="I165" i="5"/>
  <c r="H165" i="5"/>
  <c r="G165" i="5"/>
  <c r="F165" i="5"/>
  <c r="C164" i="5"/>
  <c r="V163" i="5"/>
  <c r="T163" i="5"/>
  <c r="R163" i="5"/>
  <c r="U163" i="5"/>
  <c r="S163" i="5"/>
  <c r="Q163" i="5"/>
  <c r="E163" i="5"/>
  <c r="D163" i="5"/>
  <c r="B163" i="5"/>
  <c r="A163" i="5"/>
  <c r="K161" i="5"/>
  <c r="P161" i="5"/>
  <c r="I161" i="5"/>
  <c r="K160" i="5"/>
  <c r="H160" i="5"/>
  <c r="G160" i="5"/>
  <c r="E160" i="5"/>
  <c r="J159" i="5"/>
  <c r="E159" i="5"/>
  <c r="J158" i="5"/>
  <c r="E158" i="5"/>
  <c r="J157" i="5"/>
  <c r="E157" i="5"/>
  <c r="J156" i="5"/>
  <c r="I156" i="5"/>
  <c r="H156" i="5"/>
  <c r="F156" i="5"/>
  <c r="V156" i="5"/>
  <c r="T156" i="5"/>
  <c r="R156" i="5"/>
  <c r="U156" i="5"/>
  <c r="S156" i="5"/>
  <c r="Q156" i="5"/>
  <c r="E156" i="5"/>
  <c r="D156" i="5"/>
  <c r="B156" i="5"/>
  <c r="A156" i="5"/>
  <c r="J155" i="5"/>
  <c r="I155" i="5"/>
  <c r="H155" i="5"/>
  <c r="G155" i="5"/>
  <c r="F155" i="5"/>
  <c r="J154" i="5"/>
  <c r="I154" i="5"/>
  <c r="H154" i="5"/>
  <c r="G154" i="5"/>
  <c r="F154" i="5"/>
  <c r="J153" i="5"/>
  <c r="I153" i="5"/>
  <c r="H153" i="5"/>
  <c r="G153" i="5"/>
  <c r="F153" i="5"/>
  <c r="C152" i="5"/>
  <c r="V151" i="5"/>
  <c r="T151" i="5"/>
  <c r="R151" i="5"/>
  <c r="U151" i="5"/>
  <c r="S151" i="5"/>
  <c r="Q151" i="5"/>
  <c r="E151" i="5"/>
  <c r="D151" i="5"/>
  <c r="B151" i="5"/>
  <c r="A151" i="5"/>
  <c r="K149" i="5"/>
  <c r="P149" i="5"/>
  <c r="I149" i="5"/>
  <c r="K148" i="5"/>
  <c r="H148" i="5"/>
  <c r="G148" i="5"/>
  <c r="E148" i="5"/>
  <c r="J147" i="5"/>
  <c r="E147" i="5"/>
  <c r="J146" i="5"/>
  <c r="E146" i="5"/>
  <c r="J145" i="5"/>
  <c r="E145" i="5"/>
  <c r="J144" i="5"/>
  <c r="I144" i="5"/>
  <c r="H144" i="5"/>
  <c r="F144" i="5"/>
  <c r="V144" i="5"/>
  <c r="T144" i="5"/>
  <c r="R144" i="5"/>
  <c r="U144" i="5"/>
  <c r="S144" i="5"/>
  <c r="Q144" i="5"/>
  <c r="E144" i="5"/>
  <c r="D144" i="5"/>
  <c r="B144" i="5"/>
  <c r="A144" i="5"/>
  <c r="J143" i="5"/>
  <c r="I143" i="5"/>
  <c r="H143" i="5"/>
  <c r="G143" i="5"/>
  <c r="F143" i="5"/>
  <c r="J142" i="5"/>
  <c r="I142" i="5"/>
  <c r="H142" i="5"/>
  <c r="G142" i="5"/>
  <c r="F142" i="5"/>
  <c r="J141" i="5"/>
  <c r="I141" i="5"/>
  <c r="H141" i="5"/>
  <c r="G141" i="5"/>
  <c r="F141" i="5"/>
  <c r="J140" i="5"/>
  <c r="I140" i="5"/>
  <c r="H140" i="5"/>
  <c r="G140" i="5"/>
  <c r="F140" i="5"/>
  <c r="C139" i="5"/>
  <c r="V138" i="5"/>
  <c r="T138" i="5"/>
  <c r="R138" i="5"/>
  <c r="U138" i="5"/>
  <c r="S138" i="5"/>
  <c r="Q138" i="5"/>
  <c r="E138" i="5"/>
  <c r="D138" i="5"/>
  <c r="B138" i="5"/>
  <c r="A138" i="5"/>
  <c r="K136" i="5"/>
  <c r="P136" i="5"/>
  <c r="I136" i="5"/>
  <c r="K135" i="5"/>
  <c r="H135" i="5"/>
  <c r="G135" i="5"/>
  <c r="E135" i="5"/>
  <c r="J134" i="5"/>
  <c r="E134" i="5"/>
  <c r="J133" i="5"/>
  <c r="E133" i="5"/>
  <c r="J132" i="5"/>
  <c r="E132" i="5"/>
  <c r="J131" i="5"/>
  <c r="I131" i="5"/>
  <c r="H131" i="5"/>
  <c r="F131" i="5"/>
  <c r="V131" i="5"/>
  <c r="T131" i="5"/>
  <c r="R131" i="5"/>
  <c r="U131" i="5"/>
  <c r="S131" i="5"/>
  <c r="Q131" i="5"/>
  <c r="E131" i="5"/>
  <c r="D131" i="5"/>
  <c r="B131" i="5"/>
  <c r="A131" i="5"/>
  <c r="J130" i="5"/>
  <c r="I130" i="5"/>
  <c r="H130" i="5"/>
  <c r="G130" i="5"/>
  <c r="F130" i="5"/>
  <c r="J129" i="5"/>
  <c r="I129" i="5"/>
  <c r="H129" i="5"/>
  <c r="G129" i="5"/>
  <c r="F129" i="5"/>
  <c r="J128" i="5"/>
  <c r="I128" i="5"/>
  <c r="H128" i="5"/>
  <c r="G128" i="5"/>
  <c r="F128" i="5"/>
  <c r="J127" i="5"/>
  <c r="I127" i="5"/>
  <c r="H127" i="5"/>
  <c r="G127" i="5"/>
  <c r="F127" i="5"/>
  <c r="C126" i="5"/>
  <c r="V125" i="5"/>
  <c r="T125" i="5"/>
  <c r="R125" i="5"/>
  <c r="U125" i="5"/>
  <c r="S125" i="5"/>
  <c r="Q125" i="5"/>
  <c r="E125" i="5"/>
  <c r="D125" i="5"/>
  <c r="B125" i="5"/>
  <c r="A125" i="5"/>
  <c r="K123" i="5"/>
  <c r="P123" i="5"/>
  <c r="I123" i="5"/>
  <c r="K122" i="5"/>
  <c r="H122" i="5"/>
  <c r="G122" i="5"/>
  <c r="E122" i="5"/>
  <c r="J121" i="5"/>
  <c r="E121" i="5"/>
  <c r="J120" i="5"/>
  <c r="E120" i="5"/>
  <c r="J119" i="5"/>
  <c r="E119" i="5"/>
  <c r="J118" i="5"/>
  <c r="I118" i="5"/>
  <c r="H118" i="5"/>
  <c r="F118" i="5"/>
  <c r="V118" i="5"/>
  <c r="T118" i="5"/>
  <c r="R118" i="5"/>
  <c r="U118" i="5"/>
  <c r="S118" i="5"/>
  <c r="Q118" i="5"/>
  <c r="E118" i="5"/>
  <c r="D118" i="5"/>
  <c r="B118" i="5"/>
  <c r="A118" i="5"/>
  <c r="J117" i="5"/>
  <c r="I117" i="5"/>
  <c r="H117" i="5"/>
  <c r="G117" i="5"/>
  <c r="F117" i="5"/>
  <c r="J116" i="5"/>
  <c r="I116" i="5"/>
  <c r="H116" i="5"/>
  <c r="G116" i="5"/>
  <c r="F116" i="5"/>
  <c r="J115" i="5"/>
  <c r="I115" i="5"/>
  <c r="H115" i="5"/>
  <c r="G115" i="5"/>
  <c r="F115" i="5"/>
  <c r="J114" i="5"/>
  <c r="I114" i="5"/>
  <c r="H114" i="5"/>
  <c r="G114" i="5"/>
  <c r="F114" i="5"/>
  <c r="C113" i="5"/>
  <c r="V112" i="5"/>
  <c r="T112" i="5"/>
  <c r="R112" i="5"/>
  <c r="U112" i="5"/>
  <c r="S112" i="5"/>
  <c r="Q112" i="5"/>
  <c r="E112" i="5"/>
  <c r="D112" i="5"/>
  <c r="B112" i="5"/>
  <c r="A112" i="5"/>
  <c r="K110" i="5"/>
  <c r="P110" i="5"/>
  <c r="I110" i="5"/>
  <c r="K109" i="5"/>
  <c r="H109" i="5"/>
  <c r="G109" i="5"/>
  <c r="E109" i="5"/>
  <c r="J108" i="5"/>
  <c r="E108" i="5"/>
  <c r="J107" i="5"/>
  <c r="E107" i="5"/>
  <c r="J106" i="5"/>
  <c r="E106" i="5"/>
  <c r="J105" i="5"/>
  <c r="I105" i="5"/>
  <c r="H105" i="5"/>
  <c r="F105" i="5"/>
  <c r="V105" i="5"/>
  <c r="T105" i="5"/>
  <c r="R105" i="5"/>
  <c r="U105" i="5"/>
  <c r="S105" i="5"/>
  <c r="Q105" i="5"/>
  <c r="E105" i="5"/>
  <c r="D105" i="5"/>
  <c r="B105" i="5"/>
  <c r="A105" i="5"/>
  <c r="J104" i="5"/>
  <c r="I104" i="5"/>
  <c r="H104" i="5"/>
  <c r="G104" i="5"/>
  <c r="F104" i="5"/>
  <c r="J103" i="5"/>
  <c r="I103" i="5"/>
  <c r="H103" i="5"/>
  <c r="G103" i="5"/>
  <c r="F103" i="5"/>
  <c r="J102" i="5"/>
  <c r="I102" i="5"/>
  <c r="H102" i="5"/>
  <c r="G102" i="5"/>
  <c r="F102" i="5"/>
  <c r="J101" i="5"/>
  <c r="I101" i="5"/>
  <c r="H101" i="5"/>
  <c r="G101" i="5"/>
  <c r="F101" i="5"/>
  <c r="C100" i="5"/>
  <c r="V99" i="5"/>
  <c r="T99" i="5"/>
  <c r="R99" i="5"/>
  <c r="U99" i="5"/>
  <c r="S99" i="5"/>
  <c r="Q99" i="5"/>
  <c r="E99" i="5"/>
  <c r="D99" i="5"/>
  <c r="B99" i="5"/>
  <c r="A99" i="5"/>
  <c r="K97" i="5"/>
  <c r="P97" i="5"/>
  <c r="I97" i="5"/>
  <c r="K96" i="5"/>
  <c r="H96" i="5"/>
  <c r="G96" i="5"/>
  <c r="E96" i="5"/>
  <c r="J95" i="5"/>
  <c r="E95" i="5"/>
  <c r="J94" i="5"/>
  <c r="E94" i="5"/>
  <c r="J93" i="5"/>
  <c r="I93" i="5"/>
  <c r="H93" i="5"/>
  <c r="F93" i="5"/>
  <c r="V93" i="5"/>
  <c r="T93" i="5"/>
  <c r="R93" i="5"/>
  <c r="U93" i="5"/>
  <c r="S93" i="5"/>
  <c r="Q93" i="5"/>
  <c r="E93" i="5"/>
  <c r="D93" i="5"/>
  <c r="B93" i="5"/>
  <c r="A93" i="5"/>
  <c r="J92" i="5"/>
  <c r="I92" i="5"/>
  <c r="H92" i="5"/>
  <c r="G92" i="5"/>
  <c r="F92" i="5"/>
  <c r="C91" i="5"/>
  <c r="V90" i="5"/>
  <c r="T90" i="5"/>
  <c r="R90" i="5"/>
  <c r="U90" i="5"/>
  <c r="S90" i="5"/>
  <c r="Q90" i="5"/>
  <c r="E90" i="5"/>
  <c r="D90" i="5"/>
  <c r="B90" i="5"/>
  <c r="A90" i="5"/>
  <c r="K88" i="5"/>
  <c r="P88" i="5"/>
  <c r="I88" i="5"/>
  <c r="K87" i="5"/>
  <c r="H87" i="5"/>
  <c r="G87" i="5"/>
  <c r="E87" i="5"/>
  <c r="J86" i="5"/>
  <c r="E86" i="5"/>
  <c r="J85" i="5"/>
  <c r="E85" i="5"/>
  <c r="J84" i="5"/>
  <c r="E84" i="5"/>
  <c r="J83" i="5"/>
  <c r="I83" i="5"/>
  <c r="H83" i="5"/>
  <c r="F83" i="5"/>
  <c r="V83" i="5"/>
  <c r="T83" i="5"/>
  <c r="R83" i="5"/>
  <c r="U83" i="5"/>
  <c r="S83" i="5"/>
  <c r="Q83" i="5"/>
  <c r="E83" i="5"/>
  <c r="D83" i="5"/>
  <c r="B83" i="5"/>
  <c r="A83" i="5"/>
  <c r="J82" i="5"/>
  <c r="I82" i="5"/>
  <c r="H82" i="5"/>
  <c r="F82" i="5"/>
  <c r="V82" i="5"/>
  <c r="T82" i="5"/>
  <c r="R82" i="5"/>
  <c r="U82" i="5"/>
  <c r="S82" i="5"/>
  <c r="Q82" i="5"/>
  <c r="E82" i="5"/>
  <c r="D82" i="5"/>
  <c r="B82" i="5"/>
  <c r="A82" i="5"/>
  <c r="J81" i="5"/>
  <c r="I81" i="5"/>
  <c r="H81" i="5"/>
  <c r="F81" i="5"/>
  <c r="V81" i="5"/>
  <c r="T81" i="5"/>
  <c r="R81" i="5"/>
  <c r="U81" i="5"/>
  <c r="S81" i="5"/>
  <c r="Q81" i="5"/>
  <c r="E81" i="5"/>
  <c r="D81" i="5"/>
  <c r="B81" i="5"/>
  <c r="A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C76" i="5"/>
  <c r="V75" i="5"/>
  <c r="T75" i="5"/>
  <c r="R75" i="5"/>
  <c r="U75" i="5"/>
  <c r="S75" i="5"/>
  <c r="Q75" i="5"/>
  <c r="E75" i="5"/>
  <c r="D75" i="5"/>
  <c r="B75" i="5"/>
  <c r="A75" i="5"/>
  <c r="K73" i="5"/>
  <c r="P73" i="5"/>
  <c r="I73" i="5"/>
  <c r="K72" i="5"/>
  <c r="H72" i="5"/>
  <c r="G72" i="5"/>
  <c r="E72" i="5"/>
  <c r="J71" i="5"/>
  <c r="E71" i="5"/>
  <c r="J70" i="5"/>
  <c r="E70" i="5"/>
  <c r="J69" i="5"/>
  <c r="E69" i="5"/>
  <c r="J68" i="5"/>
  <c r="I68" i="5"/>
  <c r="H68" i="5"/>
  <c r="F68" i="5"/>
  <c r="V68" i="5"/>
  <c r="T68" i="5"/>
  <c r="R68" i="5"/>
  <c r="U68" i="5"/>
  <c r="S68" i="5"/>
  <c r="Q68" i="5"/>
  <c r="E68" i="5"/>
  <c r="D68" i="5"/>
  <c r="B68" i="5"/>
  <c r="A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C64" i="5"/>
  <c r="V63" i="5"/>
  <c r="T63" i="5"/>
  <c r="R63" i="5"/>
  <c r="U63" i="5"/>
  <c r="S63" i="5"/>
  <c r="Q63" i="5"/>
  <c r="E63" i="5"/>
  <c r="D63" i="5"/>
  <c r="B63" i="5"/>
  <c r="A63" i="5"/>
  <c r="K61" i="5"/>
  <c r="P61" i="5"/>
  <c r="I61" i="5"/>
  <c r="K60" i="5"/>
  <c r="H60" i="5"/>
  <c r="G60" i="5"/>
  <c r="E60" i="5"/>
  <c r="J59" i="5"/>
  <c r="E59" i="5"/>
  <c r="J58" i="5"/>
  <c r="E58" i="5"/>
  <c r="J57" i="5"/>
  <c r="E57" i="5"/>
  <c r="J56" i="5"/>
  <c r="I56" i="5"/>
  <c r="H56" i="5"/>
  <c r="F56" i="5"/>
  <c r="V56" i="5"/>
  <c r="T56" i="5"/>
  <c r="R56" i="5"/>
  <c r="U56" i="5"/>
  <c r="S56" i="5"/>
  <c r="Q56" i="5"/>
  <c r="E56" i="5"/>
  <c r="D56" i="5"/>
  <c r="B56" i="5"/>
  <c r="A56" i="5"/>
  <c r="J55" i="5"/>
  <c r="I55" i="5"/>
  <c r="H55" i="5"/>
  <c r="F55" i="5"/>
  <c r="V55" i="5"/>
  <c r="T55" i="5"/>
  <c r="R55" i="5"/>
  <c r="U55" i="5"/>
  <c r="S55" i="5"/>
  <c r="Q55" i="5"/>
  <c r="E55" i="5"/>
  <c r="D55" i="5"/>
  <c r="B55" i="5"/>
  <c r="A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C50" i="5"/>
  <c r="V49" i="5"/>
  <c r="T49" i="5"/>
  <c r="R49" i="5"/>
  <c r="U49" i="5"/>
  <c r="S49" i="5"/>
  <c r="Q49" i="5"/>
  <c r="E49" i="5"/>
  <c r="D49" i="5"/>
  <c r="B49" i="5"/>
  <c r="A49" i="5"/>
  <c r="K47" i="5"/>
  <c r="P47" i="5"/>
  <c r="I47" i="5"/>
  <c r="K46" i="5"/>
  <c r="H46" i="5"/>
  <c r="G46" i="5"/>
  <c r="E46" i="5"/>
  <c r="J45" i="5"/>
  <c r="E45" i="5"/>
  <c r="J44" i="5"/>
  <c r="E44" i="5"/>
  <c r="J43" i="5"/>
  <c r="E43" i="5"/>
  <c r="J42" i="5"/>
  <c r="I42" i="5"/>
  <c r="H42" i="5"/>
  <c r="F42" i="5"/>
  <c r="V42" i="5"/>
  <c r="T42" i="5"/>
  <c r="R42" i="5"/>
  <c r="U42" i="5"/>
  <c r="S42" i="5"/>
  <c r="Q42" i="5"/>
  <c r="E42" i="5"/>
  <c r="D42" i="5"/>
  <c r="B42" i="5"/>
  <c r="A42" i="5"/>
  <c r="J41" i="5"/>
  <c r="I41" i="5"/>
  <c r="H41" i="5"/>
  <c r="F41" i="5"/>
  <c r="V41" i="5"/>
  <c r="T41" i="5"/>
  <c r="R41" i="5"/>
  <c r="U41" i="5"/>
  <c r="S41" i="5"/>
  <c r="Q41" i="5"/>
  <c r="E41" i="5"/>
  <c r="D41" i="5"/>
  <c r="B41" i="5"/>
  <c r="A41" i="5"/>
  <c r="J40" i="5"/>
  <c r="I40" i="5"/>
  <c r="H40" i="5"/>
  <c r="F40" i="5"/>
  <c r="V40" i="5"/>
  <c r="T40" i="5"/>
  <c r="R40" i="5"/>
  <c r="U40" i="5"/>
  <c r="S40" i="5"/>
  <c r="Q40" i="5"/>
  <c r="E40" i="5"/>
  <c r="D40" i="5"/>
  <c r="B40" i="5"/>
  <c r="A40" i="5"/>
  <c r="J39" i="5"/>
  <c r="I39" i="5"/>
  <c r="H39" i="5"/>
  <c r="F39" i="5"/>
  <c r="V39" i="5"/>
  <c r="T39" i="5"/>
  <c r="R39" i="5"/>
  <c r="U39" i="5"/>
  <c r="S39" i="5"/>
  <c r="Q39" i="5"/>
  <c r="E39" i="5"/>
  <c r="D39" i="5"/>
  <c r="B39" i="5"/>
  <c r="A39" i="5"/>
  <c r="J38" i="5"/>
  <c r="I38" i="5"/>
  <c r="H38" i="5"/>
  <c r="F38" i="5"/>
  <c r="V38" i="5"/>
  <c r="T38" i="5"/>
  <c r="R38" i="5"/>
  <c r="U38" i="5"/>
  <c r="S38" i="5"/>
  <c r="Q38" i="5"/>
  <c r="E38" i="5"/>
  <c r="D38" i="5"/>
  <c r="B38" i="5"/>
  <c r="A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C33" i="5"/>
  <c r="V32" i="5"/>
  <c r="T32" i="5"/>
  <c r="R32" i="5"/>
  <c r="U32" i="5"/>
  <c r="S32" i="5"/>
  <c r="Q32" i="5"/>
  <c r="E32" i="5"/>
  <c r="D32" i="5"/>
  <c r="B32" i="5"/>
  <c r="A32" i="5"/>
  <c r="A31" i="5"/>
  <c r="A11" i="5"/>
  <c r="A6" i="5"/>
  <c r="A3" i="5"/>
  <c r="A1" i="5"/>
  <c r="A1" i="4" l="1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" i="3"/>
  <c r="CY1" i="3"/>
  <c r="CZ1" i="3"/>
  <c r="DA1" i="3"/>
  <c r="DB1" i="3"/>
  <c r="DC1" i="3"/>
  <c r="A2" i="3"/>
  <c r="CY2" i="3"/>
  <c r="CZ2" i="3"/>
  <c r="DA2" i="3"/>
  <c r="DB2" i="3"/>
  <c r="DC2" i="3"/>
  <c r="A3" i="3"/>
  <c r="CY3" i="3"/>
  <c r="CZ3" i="3"/>
  <c r="DA3" i="3"/>
  <c r="DB3" i="3"/>
  <c r="DC3" i="3"/>
  <c r="A4" i="3"/>
  <c r="CY4" i="3"/>
  <c r="CZ4" i="3"/>
  <c r="DA4" i="3"/>
  <c r="DB4" i="3"/>
  <c r="DC4" i="3"/>
  <c r="A5" i="3"/>
  <c r="CY5" i="3"/>
  <c r="CZ5" i="3"/>
  <c r="DA5" i="3"/>
  <c r="DB5" i="3"/>
  <c r="DC5" i="3"/>
  <c r="A6" i="3"/>
  <c r="CY6" i="3"/>
  <c r="CZ6" i="3"/>
  <c r="DA6" i="3"/>
  <c r="DB6" i="3"/>
  <c r="DC6" i="3"/>
  <c r="A7" i="3"/>
  <c r="CY7" i="3"/>
  <c r="CZ7" i="3"/>
  <c r="DA7" i="3"/>
  <c r="DB7" i="3"/>
  <c r="DC7" i="3"/>
  <c r="A8" i="3"/>
  <c r="CY8" i="3"/>
  <c r="CZ8" i="3"/>
  <c r="DA8" i="3"/>
  <c r="DB8" i="3"/>
  <c r="DC8" i="3"/>
  <c r="A9" i="3"/>
  <c r="CY9" i="3"/>
  <c r="CZ9" i="3"/>
  <c r="DA9" i="3"/>
  <c r="DB9" i="3"/>
  <c r="DC9" i="3"/>
  <c r="A10" i="3"/>
  <c r="CY10" i="3"/>
  <c r="CZ10" i="3"/>
  <c r="DA10" i="3"/>
  <c r="DB10" i="3"/>
  <c r="DC10" i="3"/>
  <c r="A11" i="3"/>
  <c r="CY11" i="3"/>
  <c r="CZ11" i="3"/>
  <c r="DA11" i="3"/>
  <c r="DB11" i="3"/>
  <c r="DC11" i="3"/>
  <c r="A12" i="3"/>
  <c r="CY12" i="3"/>
  <c r="CZ12" i="3"/>
  <c r="DA12" i="3"/>
  <c r="DB12" i="3"/>
  <c r="DC12" i="3"/>
  <c r="A13" i="3"/>
  <c r="CY13" i="3"/>
  <c r="CZ13" i="3"/>
  <c r="DA13" i="3"/>
  <c r="DB13" i="3"/>
  <c r="DC13" i="3"/>
  <c r="A14" i="3"/>
  <c r="CY14" i="3"/>
  <c r="CZ14" i="3"/>
  <c r="DA14" i="3"/>
  <c r="DB14" i="3"/>
  <c r="DC14" i="3"/>
  <c r="A15" i="3"/>
  <c r="CY15" i="3"/>
  <c r="CZ15" i="3"/>
  <c r="DA15" i="3"/>
  <c r="DB15" i="3"/>
  <c r="DC15" i="3"/>
  <c r="A16" i="3"/>
  <c r="CY16" i="3"/>
  <c r="CZ16" i="3"/>
  <c r="DA16" i="3"/>
  <c r="DB16" i="3"/>
  <c r="DC16" i="3"/>
  <c r="A17" i="3"/>
  <c r="CY17" i="3"/>
  <c r="CZ17" i="3"/>
  <c r="DA17" i="3"/>
  <c r="DB17" i="3"/>
  <c r="DC17" i="3"/>
  <c r="A18" i="3"/>
  <c r="CY18" i="3"/>
  <c r="CZ18" i="3"/>
  <c r="DA18" i="3"/>
  <c r="DB18" i="3"/>
  <c r="DC18" i="3"/>
  <c r="A19" i="3"/>
  <c r="CY19" i="3"/>
  <c r="CZ19" i="3"/>
  <c r="DA19" i="3"/>
  <c r="DB19" i="3"/>
  <c r="DC19" i="3"/>
  <c r="A20" i="3"/>
  <c r="CY20" i="3"/>
  <c r="CZ20" i="3"/>
  <c r="DA20" i="3"/>
  <c r="DB20" i="3"/>
  <c r="DC20" i="3"/>
  <c r="A21" i="3"/>
  <c r="CY21" i="3"/>
  <c r="CZ21" i="3"/>
  <c r="DA21" i="3"/>
  <c r="DB21" i="3"/>
  <c r="DC21" i="3"/>
  <c r="A22" i="3"/>
  <c r="CY22" i="3"/>
  <c r="CZ22" i="3"/>
  <c r="DA22" i="3"/>
  <c r="DB22" i="3"/>
  <c r="DC22" i="3"/>
  <c r="A23" i="3"/>
  <c r="CY23" i="3"/>
  <c r="CZ23" i="3"/>
  <c r="DA23" i="3"/>
  <c r="DB23" i="3"/>
  <c r="DC23" i="3"/>
  <c r="A24" i="3"/>
  <c r="CY24" i="3"/>
  <c r="CZ24" i="3"/>
  <c r="DA24" i="3"/>
  <c r="DB24" i="3"/>
  <c r="DC24" i="3"/>
  <c r="A25" i="3"/>
  <c r="CX25" i="3"/>
  <c r="CY25" i="3"/>
  <c r="CZ25" i="3"/>
  <c r="DA25" i="3"/>
  <c r="DB25" i="3"/>
  <c r="DC25" i="3"/>
  <c r="A26" i="3"/>
  <c r="CY26" i="3"/>
  <c r="CZ26" i="3"/>
  <c r="DA26" i="3"/>
  <c r="DB26" i="3"/>
  <c r="DC26" i="3"/>
  <c r="A27" i="3"/>
  <c r="CY27" i="3"/>
  <c r="CZ27" i="3"/>
  <c r="DA27" i="3"/>
  <c r="DB27" i="3"/>
  <c r="DC27" i="3"/>
  <c r="A28" i="3"/>
  <c r="CY28" i="3"/>
  <c r="CZ28" i="3"/>
  <c r="DA28" i="3"/>
  <c r="DB28" i="3"/>
  <c r="DC28" i="3"/>
  <c r="A29" i="3"/>
  <c r="CY29" i="3"/>
  <c r="CZ29" i="3"/>
  <c r="DA29" i="3"/>
  <c r="DB29" i="3"/>
  <c r="DC29" i="3"/>
  <c r="A30" i="3"/>
  <c r="CY30" i="3"/>
  <c r="CZ30" i="3"/>
  <c r="DA30" i="3"/>
  <c r="DB30" i="3"/>
  <c r="DC30" i="3"/>
  <c r="A31" i="3"/>
  <c r="CY31" i="3"/>
  <c r="CZ31" i="3"/>
  <c r="DA31" i="3"/>
  <c r="DB31" i="3"/>
  <c r="DC31" i="3"/>
  <c r="A32" i="3"/>
  <c r="CY32" i="3"/>
  <c r="CZ32" i="3"/>
  <c r="DA32" i="3"/>
  <c r="DB32" i="3"/>
  <c r="DC32" i="3"/>
  <c r="A33" i="3"/>
  <c r="CX33" i="3"/>
  <c r="CY33" i="3"/>
  <c r="CZ33" i="3"/>
  <c r="DA33" i="3"/>
  <c r="DB33" i="3"/>
  <c r="DC33" i="3"/>
  <c r="A34" i="3"/>
  <c r="CY34" i="3"/>
  <c r="CZ34" i="3"/>
  <c r="DA34" i="3"/>
  <c r="DB34" i="3"/>
  <c r="DC34" i="3"/>
  <c r="A35" i="3"/>
  <c r="CY35" i="3"/>
  <c r="CZ35" i="3"/>
  <c r="DA35" i="3"/>
  <c r="DB35" i="3"/>
  <c r="DC35" i="3"/>
  <c r="A36" i="3"/>
  <c r="CY36" i="3"/>
  <c r="CZ36" i="3"/>
  <c r="DA36" i="3"/>
  <c r="DB36" i="3"/>
  <c r="DC36" i="3"/>
  <c r="A37" i="3"/>
  <c r="CY37" i="3"/>
  <c r="CZ37" i="3"/>
  <c r="DA37" i="3"/>
  <c r="DB37" i="3"/>
  <c r="DC37" i="3"/>
  <c r="A38" i="3"/>
  <c r="CY38" i="3"/>
  <c r="CZ38" i="3"/>
  <c r="DA38" i="3"/>
  <c r="DB38" i="3"/>
  <c r="DC38" i="3"/>
  <c r="A39" i="3"/>
  <c r="CY39" i="3"/>
  <c r="CZ39" i="3"/>
  <c r="DA39" i="3"/>
  <c r="DB39" i="3"/>
  <c r="DC39" i="3"/>
  <c r="A40" i="3"/>
  <c r="CY40" i="3"/>
  <c r="CZ40" i="3"/>
  <c r="DA40" i="3"/>
  <c r="DB40" i="3"/>
  <c r="DC40" i="3"/>
  <c r="A41" i="3"/>
  <c r="CY41" i="3"/>
  <c r="CZ41" i="3"/>
  <c r="DA41" i="3"/>
  <c r="DB41" i="3"/>
  <c r="DC41" i="3"/>
  <c r="A42" i="3"/>
  <c r="CY42" i="3"/>
  <c r="CZ42" i="3"/>
  <c r="DA42" i="3"/>
  <c r="DB42" i="3"/>
  <c r="DC42" i="3"/>
  <c r="A43" i="3"/>
  <c r="CY43" i="3"/>
  <c r="CZ43" i="3"/>
  <c r="DA43" i="3"/>
  <c r="DB43" i="3"/>
  <c r="DC43" i="3"/>
  <c r="A44" i="3"/>
  <c r="CY44" i="3"/>
  <c r="CZ44" i="3"/>
  <c r="DA44" i="3"/>
  <c r="DB44" i="3"/>
  <c r="DC44" i="3"/>
  <c r="A45" i="3"/>
  <c r="CY45" i="3"/>
  <c r="CZ45" i="3"/>
  <c r="DA45" i="3"/>
  <c r="DB45" i="3"/>
  <c r="DC45" i="3"/>
  <c r="A46" i="3"/>
  <c r="CY46" i="3"/>
  <c r="CZ46" i="3"/>
  <c r="DA46" i="3"/>
  <c r="DB46" i="3"/>
  <c r="DC46" i="3"/>
  <c r="A47" i="3"/>
  <c r="CY47" i="3"/>
  <c r="CZ47" i="3"/>
  <c r="DA47" i="3"/>
  <c r="DB47" i="3"/>
  <c r="DC47" i="3"/>
  <c r="A48" i="3"/>
  <c r="CY48" i="3"/>
  <c r="CZ48" i="3"/>
  <c r="DA48" i="3"/>
  <c r="DB48" i="3"/>
  <c r="DC48" i="3"/>
  <c r="A49" i="3"/>
  <c r="CY49" i="3"/>
  <c r="CZ49" i="3"/>
  <c r="DA49" i="3"/>
  <c r="DB49" i="3"/>
  <c r="DC49" i="3"/>
  <c r="A50" i="3"/>
  <c r="CY50" i="3"/>
  <c r="CZ50" i="3"/>
  <c r="DA50" i="3"/>
  <c r="DB50" i="3"/>
  <c r="DC50" i="3"/>
  <c r="A51" i="3"/>
  <c r="CY51" i="3"/>
  <c r="CZ51" i="3"/>
  <c r="DA51" i="3"/>
  <c r="DB51" i="3"/>
  <c r="DC51" i="3"/>
  <c r="A52" i="3"/>
  <c r="CY52" i="3"/>
  <c r="CZ52" i="3"/>
  <c r="DA52" i="3"/>
  <c r="DB52" i="3"/>
  <c r="DC52" i="3"/>
  <c r="A53" i="3"/>
  <c r="CY53" i="3"/>
  <c r="CZ53" i="3"/>
  <c r="DA53" i="3"/>
  <c r="DB53" i="3"/>
  <c r="DC53" i="3"/>
  <c r="A54" i="3"/>
  <c r="CY54" i="3"/>
  <c r="CZ54" i="3"/>
  <c r="DA54" i="3"/>
  <c r="DB54" i="3"/>
  <c r="DC54" i="3"/>
  <c r="A55" i="3"/>
  <c r="CY55" i="3"/>
  <c r="CZ55" i="3"/>
  <c r="DA55" i="3"/>
  <c r="DB55" i="3"/>
  <c r="DC55" i="3"/>
  <c r="A56" i="3"/>
  <c r="CY56" i="3"/>
  <c r="CZ56" i="3"/>
  <c r="DA56" i="3"/>
  <c r="DB56" i="3"/>
  <c r="DC56" i="3"/>
  <c r="A57" i="3"/>
  <c r="CX57" i="3"/>
  <c r="CY57" i="3"/>
  <c r="CZ57" i="3"/>
  <c r="DA57" i="3"/>
  <c r="DB57" i="3"/>
  <c r="DC57" i="3"/>
  <c r="A58" i="3"/>
  <c r="CY58" i="3"/>
  <c r="CZ58" i="3"/>
  <c r="DA58" i="3"/>
  <c r="DB58" i="3"/>
  <c r="DC58" i="3"/>
  <c r="A59" i="3"/>
  <c r="CY59" i="3"/>
  <c r="CZ59" i="3"/>
  <c r="DA59" i="3"/>
  <c r="DB59" i="3"/>
  <c r="DC59" i="3"/>
  <c r="A60" i="3"/>
  <c r="CY60" i="3"/>
  <c r="CZ60" i="3"/>
  <c r="DA60" i="3"/>
  <c r="DB60" i="3"/>
  <c r="DC60" i="3"/>
  <c r="A61" i="3"/>
  <c r="CY61" i="3"/>
  <c r="CZ61" i="3"/>
  <c r="DA61" i="3"/>
  <c r="DB61" i="3"/>
  <c r="DC61" i="3"/>
  <c r="A62" i="3"/>
  <c r="CY62" i="3"/>
  <c r="CZ62" i="3"/>
  <c r="DA62" i="3"/>
  <c r="DB62" i="3"/>
  <c r="DC62" i="3"/>
  <c r="A63" i="3"/>
  <c r="CY63" i="3"/>
  <c r="CZ63" i="3"/>
  <c r="DA63" i="3"/>
  <c r="DB63" i="3"/>
  <c r="DC63" i="3"/>
  <c r="A64" i="3"/>
  <c r="CY64" i="3"/>
  <c r="CZ64" i="3"/>
  <c r="DA64" i="3"/>
  <c r="DB64" i="3"/>
  <c r="DC64" i="3"/>
  <c r="A65" i="3"/>
  <c r="CY65" i="3"/>
  <c r="CZ65" i="3"/>
  <c r="DA65" i="3"/>
  <c r="DB65" i="3"/>
  <c r="DC65" i="3"/>
  <c r="A66" i="3"/>
  <c r="CY66" i="3"/>
  <c r="CZ66" i="3"/>
  <c r="DA66" i="3"/>
  <c r="DB66" i="3"/>
  <c r="DC66" i="3"/>
  <c r="A67" i="3"/>
  <c r="CY67" i="3"/>
  <c r="CZ67" i="3"/>
  <c r="DA67" i="3"/>
  <c r="DB67" i="3"/>
  <c r="DC67" i="3"/>
  <c r="A68" i="3"/>
  <c r="CY68" i="3"/>
  <c r="CZ68" i="3"/>
  <c r="DA68" i="3"/>
  <c r="DB68" i="3"/>
  <c r="DC68" i="3"/>
  <c r="A69" i="3"/>
  <c r="CY69" i="3"/>
  <c r="CZ69" i="3"/>
  <c r="DA69" i="3"/>
  <c r="DB69" i="3"/>
  <c r="DC69" i="3"/>
  <c r="A70" i="3"/>
  <c r="CY70" i="3"/>
  <c r="CZ70" i="3"/>
  <c r="DA70" i="3"/>
  <c r="DB70" i="3"/>
  <c r="DC70" i="3"/>
  <c r="A71" i="3"/>
  <c r="CY71" i="3"/>
  <c r="CZ71" i="3"/>
  <c r="DA71" i="3"/>
  <c r="DB71" i="3"/>
  <c r="DC71" i="3"/>
  <c r="A72" i="3"/>
  <c r="CY72" i="3"/>
  <c r="CZ72" i="3"/>
  <c r="DA72" i="3"/>
  <c r="DB72" i="3"/>
  <c r="DC72" i="3"/>
  <c r="A73" i="3"/>
  <c r="CY73" i="3"/>
  <c r="CZ73" i="3"/>
  <c r="DA73" i="3"/>
  <c r="DB73" i="3"/>
  <c r="DC73" i="3"/>
  <c r="A74" i="3"/>
  <c r="CY74" i="3"/>
  <c r="CZ74" i="3"/>
  <c r="DA74" i="3"/>
  <c r="DB74" i="3"/>
  <c r="DC74" i="3"/>
  <c r="A75" i="3"/>
  <c r="CY75" i="3"/>
  <c r="CZ75" i="3"/>
  <c r="DA75" i="3"/>
  <c r="DB75" i="3"/>
  <c r="DC75" i="3"/>
  <c r="A76" i="3"/>
  <c r="CY76" i="3"/>
  <c r="CZ76" i="3"/>
  <c r="DA76" i="3"/>
  <c r="DB76" i="3"/>
  <c r="DC76" i="3"/>
  <c r="A77" i="3"/>
  <c r="CY77" i="3"/>
  <c r="CZ77" i="3"/>
  <c r="DA77" i="3"/>
  <c r="DB77" i="3"/>
  <c r="DC77" i="3"/>
  <c r="A78" i="3"/>
  <c r="CY78" i="3"/>
  <c r="CZ78" i="3"/>
  <c r="DA78" i="3"/>
  <c r="DB78" i="3"/>
  <c r="DC78" i="3"/>
  <c r="A79" i="3"/>
  <c r="CY79" i="3"/>
  <c r="CZ79" i="3"/>
  <c r="DA79" i="3"/>
  <c r="DB79" i="3"/>
  <c r="DC79" i="3"/>
  <c r="A80" i="3"/>
  <c r="CY80" i="3"/>
  <c r="CZ80" i="3"/>
  <c r="DA80" i="3"/>
  <c r="DB80" i="3"/>
  <c r="DC80" i="3"/>
  <c r="A81" i="3"/>
  <c r="CY81" i="3"/>
  <c r="CZ81" i="3"/>
  <c r="DA81" i="3"/>
  <c r="DB81" i="3"/>
  <c r="DC81" i="3"/>
  <c r="A82" i="3"/>
  <c r="CY82" i="3"/>
  <c r="CZ82" i="3"/>
  <c r="DA82" i="3"/>
  <c r="DB82" i="3"/>
  <c r="DC82" i="3"/>
  <c r="A83" i="3"/>
  <c r="CY83" i="3"/>
  <c r="CZ83" i="3"/>
  <c r="DA83" i="3"/>
  <c r="DB83" i="3"/>
  <c r="DC83" i="3"/>
  <c r="A84" i="3"/>
  <c r="CY84" i="3"/>
  <c r="CZ84" i="3"/>
  <c r="DA84" i="3"/>
  <c r="DB84" i="3"/>
  <c r="DC84" i="3"/>
  <c r="A85" i="3"/>
  <c r="CY85" i="3"/>
  <c r="CZ85" i="3"/>
  <c r="DA85" i="3"/>
  <c r="DB85" i="3"/>
  <c r="DC85" i="3"/>
  <c r="A86" i="3"/>
  <c r="CY86" i="3"/>
  <c r="CZ86" i="3"/>
  <c r="DA86" i="3"/>
  <c r="DB86" i="3"/>
  <c r="DC86" i="3"/>
  <c r="A87" i="3"/>
  <c r="CY87" i="3"/>
  <c r="CZ87" i="3"/>
  <c r="DA87" i="3"/>
  <c r="DB87" i="3"/>
  <c r="DC87" i="3"/>
  <c r="A88" i="3"/>
  <c r="CY88" i="3"/>
  <c r="CZ88" i="3"/>
  <c r="DA88" i="3"/>
  <c r="DB88" i="3"/>
  <c r="DC88" i="3"/>
  <c r="A89" i="3"/>
  <c r="CY89" i="3"/>
  <c r="CZ89" i="3"/>
  <c r="DA89" i="3"/>
  <c r="DB89" i="3"/>
  <c r="DC89" i="3"/>
  <c r="A90" i="3"/>
  <c r="CY90" i="3"/>
  <c r="CZ90" i="3"/>
  <c r="DA90" i="3"/>
  <c r="DB90" i="3"/>
  <c r="DC90" i="3"/>
  <c r="A91" i="3"/>
  <c r="CY91" i="3"/>
  <c r="CZ91" i="3"/>
  <c r="DA91" i="3"/>
  <c r="DB91" i="3"/>
  <c r="DC91" i="3"/>
  <c r="A92" i="3"/>
  <c r="CY92" i="3"/>
  <c r="CZ92" i="3"/>
  <c r="DA92" i="3"/>
  <c r="DB92" i="3"/>
  <c r="DC92" i="3"/>
  <c r="A93" i="3"/>
  <c r="CY93" i="3"/>
  <c r="CZ93" i="3"/>
  <c r="DA93" i="3"/>
  <c r="DB93" i="3"/>
  <c r="DC93" i="3"/>
  <c r="A94" i="3"/>
  <c r="CY94" i="3"/>
  <c r="CZ94" i="3"/>
  <c r="DA94" i="3"/>
  <c r="DB94" i="3"/>
  <c r="DC94" i="3"/>
  <c r="A95" i="3"/>
  <c r="CY95" i="3"/>
  <c r="CZ95" i="3"/>
  <c r="DA95" i="3"/>
  <c r="DB95" i="3"/>
  <c r="DC95" i="3"/>
  <c r="A96" i="3"/>
  <c r="CY96" i="3"/>
  <c r="CZ96" i="3"/>
  <c r="DA96" i="3"/>
  <c r="DB96" i="3"/>
  <c r="DC96" i="3"/>
  <c r="A97" i="3"/>
  <c r="CY97" i="3"/>
  <c r="CZ97" i="3"/>
  <c r="DA97" i="3"/>
  <c r="DB97" i="3"/>
  <c r="DC97" i="3"/>
  <c r="A98" i="3"/>
  <c r="CY98" i="3"/>
  <c r="CZ98" i="3"/>
  <c r="DA98" i="3"/>
  <c r="DB98" i="3"/>
  <c r="DC98" i="3"/>
  <c r="A99" i="3"/>
  <c r="CY99" i="3"/>
  <c r="CZ99" i="3"/>
  <c r="DA99" i="3"/>
  <c r="DB99" i="3"/>
  <c r="DC99" i="3"/>
  <c r="A100" i="3"/>
  <c r="CY100" i="3"/>
  <c r="CZ100" i="3"/>
  <c r="DA100" i="3"/>
  <c r="DB100" i="3"/>
  <c r="DC100" i="3"/>
  <c r="A101" i="3"/>
  <c r="CY101" i="3"/>
  <c r="CZ101" i="3"/>
  <c r="DA101" i="3"/>
  <c r="DB101" i="3"/>
  <c r="DC101" i="3"/>
  <c r="A102" i="3"/>
  <c r="CY102" i="3"/>
  <c r="CZ102" i="3"/>
  <c r="DA102" i="3"/>
  <c r="DB102" i="3"/>
  <c r="DC102" i="3"/>
  <c r="A103" i="3"/>
  <c r="CY103" i="3"/>
  <c r="CZ103" i="3"/>
  <c r="DA103" i="3"/>
  <c r="DB103" i="3"/>
  <c r="DC103" i="3"/>
  <c r="A104" i="3"/>
  <c r="CY104" i="3"/>
  <c r="CZ104" i="3"/>
  <c r="DA104" i="3"/>
  <c r="DB104" i="3"/>
  <c r="DC104" i="3"/>
  <c r="A105" i="3"/>
  <c r="CY105" i="3"/>
  <c r="CZ105" i="3"/>
  <c r="DA105" i="3"/>
  <c r="DB105" i="3"/>
  <c r="DC105" i="3"/>
  <c r="A106" i="3"/>
  <c r="CY106" i="3"/>
  <c r="CZ106" i="3"/>
  <c r="DA106" i="3"/>
  <c r="DB106" i="3"/>
  <c r="DC106" i="3"/>
  <c r="A107" i="3"/>
  <c r="CY107" i="3"/>
  <c r="CZ107" i="3"/>
  <c r="DA107" i="3"/>
  <c r="DB107" i="3"/>
  <c r="DC107" i="3"/>
  <c r="A108" i="3"/>
  <c r="CY108" i="3"/>
  <c r="CZ108" i="3"/>
  <c r="DA108" i="3"/>
  <c r="DB108" i="3"/>
  <c r="DC108" i="3"/>
  <c r="A109" i="3"/>
  <c r="CY109" i="3"/>
  <c r="CZ109" i="3"/>
  <c r="DA109" i="3"/>
  <c r="DB109" i="3"/>
  <c r="DC109" i="3"/>
  <c r="A110" i="3"/>
  <c r="CY110" i="3"/>
  <c r="CZ110" i="3"/>
  <c r="DA110" i="3"/>
  <c r="DB110" i="3"/>
  <c r="DC110" i="3"/>
  <c r="A111" i="3"/>
  <c r="CY111" i="3"/>
  <c r="CZ111" i="3"/>
  <c r="DA111" i="3"/>
  <c r="DB111" i="3"/>
  <c r="DC111" i="3"/>
  <c r="A112" i="3"/>
  <c r="CY112" i="3"/>
  <c r="CZ112" i="3"/>
  <c r="DA112" i="3"/>
  <c r="DB112" i="3"/>
  <c r="DC112" i="3"/>
  <c r="A113" i="3"/>
  <c r="CY113" i="3"/>
  <c r="CZ113" i="3"/>
  <c r="DA113" i="3"/>
  <c r="DB113" i="3"/>
  <c r="DC113" i="3"/>
  <c r="A114" i="3"/>
  <c r="CY114" i="3"/>
  <c r="CZ114" i="3"/>
  <c r="DA114" i="3"/>
  <c r="DB114" i="3"/>
  <c r="DC114" i="3"/>
  <c r="A115" i="3"/>
  <c r="CY115" i="3"/>
  <c r="CZ115" i="3"/>
  <c r="DA115" i="3"/>
  <c r="DB115" i="3"/>
  <c r="DC115" i="3"/>
  <c r="A116" i="3"/>
  <c r="CY116" i="3"/>
  <c r="CZ116" i="3"/>
  <c r="DA116" i="3"/>
  <c r="DB116" i="3"/>
  <c r="DC116" i="3"/>
  <c r="A117" i="3"/>
  <c r="CY117" i="3"/>
  <c r="CZ117" i="3"/>
  <c r="DA117" i="3"/>
  <c r="DB117" i="3"/>
  <c r="DC117" i="3"/>
  <c r="A118" i="3"/>
  <c r="CY118" i="3"/>
  <c r="CZ118" i="3"/>
  <c r="DA118" i="3"/>
  <c r="DB118" i="3"/>
  <c r="DC118" i="3"/>
  <c r="A119" i="3"/>
  <c r="CY119" i="3"/>
  <c r="CZ119" i="3"/>
  <c r="DA119" i="3"/>
  <c r="DB119" i="3"/>
  <c r="DC119" i="3"/>
  <c r="A120" i="3"/>
  <c r="CY120" i="3"/>
  <c r="CZ120" i="3"/>
  <c r="DA120" i="3"/>
  <c r="DB120" i="3"/>
  <c r="DC120" i="3"/>
  <c r="A121" i="3"/>
  <c r="CY121" i="3"/>
  <c r="CZ121" i="3"/>
  <c r="DA121" i="3"/>
  <c r="DB121" i="3"/>
  <c r="DC121" i="3"/>
  <c r="A122" i="3"/>
  <c r="CY122" i="3"/>
  <c r="CZ122" i="3"/>
  <c r="DA122" i="3"/>
  <c r="DB122" i="3"/>
  <c r="DC122" i="3"/>
  <c r="A123" i="3"/>
  <c r="CY123" i="3"/>
  <c r="CZ123" i="3"/>
  <c r="DA123" i="3"/>
  <c r="DB123" i="3"/>
  <c r="DC123" i="3"/>
  <c r="A124" i="3"/>
  <c r="CY124" i="3"/>
  <c r="CZ124" i="3"/>
  <c r="DA124" i="3"/>
  <c r="DB124" i="3"/>
  <c r="DC124" i="3"/>
  <c r="A125" i="3"/>
  <c r="CY125" i="3"/>
  <c r="CZ125" i="3"/>
  <c r="DA125" i="3"/>
  <c r="DB125" i="3"/>
  <c r="DC125" i="3"/>
  <c r="A126" i="3"/>
  <c r="CY126" i="3"/>
  <c r="CZ126" i="3"/>
  <c r="DA126" i="3"/>
  <c r="DB126" i="3"/>
  <c r="DC126" i="3"/>
  <c r="A127" i="3"/>
  <c r="CY127" i="3"/>
  <c r="CZ127" i="3"/>
  <c r="DA127" i="3"/>
  <c r="DB127" i="3"/>
  <c r="DC127" i="3"/>
  <c r="A128" i="3"/>
  <c r="CY128" i="3"/>
  <c r="CZ128" i="3"/>
  <c r="DA128" i="3"/>
  <c r="DB128" i="3"/>
  <c r="DC128" i="3"/>
  <c r="A129" i="3"/>
  <c r="CY129" i="3"/>
  <c r="CZ129" i="3"/>
  <c r="DA129" i="3"/>
  <c r="DB129" i="3"/>
  <c r="DC129" i="3"/>
  <c r="A130" i="3"/>
  <c r="CY130" i="3"/>
  <c r="CZ130" i="3"/>
  <c r="DA130" i="3"/>
  <c r="DB130" i="3"/>
  <c r="DC130" i="3"/>
  <c r="A131" i="3"/>
  <c r="CY131" i="3"/>
  <c r="CZ131" i="3"/>
  <c r="DA131" i="3"/>
  <c r="DB131" i="3"/>
  <c r="DC131" i="3"/>
  <c r="A132" i="3"/>
  <c r="CY132" i="3"/>
  <c r="CZ132" i="3"/>
  <c r="DA132" i="3"/>
  <c r="DB132" i="3"/>
  <c r="DC132" i="3"/>
  <c r="A133" i="3"/>
  <c r="CY133" i="3"/>
  <c r="CZ133" i="3"/>
  <c r="DA133" i="3"/>
  <c r="DB133" i="3"/>
  <c r="DC133" i="3"/>
  <c r="A134" i="3"/>
  <c r="CY134" i="3"/>
  <c r="CZ134" i="3"/>
  <c r="DA134" i="3"/>
  <c r="DB134" i="3"/>
  <c r="DC134" i="3"/>
  <c r="A135" i="3"/>
  <c r="CY135" i="3"/>
  <c r="CZ135" i="3"/>
  <c r="DA135" i="3"/>
  <c r="DB135" i="3"/>
  <c r="DC135" i="3"/>
  <c r="A136" i="3"/>
  <c r="CY136" i="3"/>
  <c r="CZ136" i="3"/>
  <c r="DA136" i="3"/>
  <c r="DB136" i="3"/>
  <c r="DC136" i="3"/>
  <c r="A137" i="3"/>
  <c r="CY137" i="3"/>
  <c r="CZ137" i="3"/>
  <c r="DA137" i="3"/>
  <c r="DB137" i="3"/>
  <c r="DC137" i="3"/>
  <c r="A138" i="3"/>
  <c r="CY138" i="3"/>
  <c r="CZ138" i="3"/>
  <c r="DA138" i="3"/>
  <c r="DB138" i="3"/>
  <c r="DC138" i="3"/>
  <c r="A139" i="3"/>
  <c r="CY139" i="3"/>
  <c r="CZ139" i="3"/>
  <c r="DA139" i="3"/>
  <c r="DB139" i="3"/>
  <c r="DC139" i="3"/>
  <c r="A140" i="3"/>
  <c r="CY140" i="3"/>
  <c r="CZ140" i="3"/>
  <c r="DA140" i="3"/>
  <c r="DB140" i="3"/>
  <c r="DC140" i="3"/>
  <c r="A141" i="3"/>
  <c r="CY141" i="3"/>
  <c r="CZ141" i="3"/>
  <c r="DA141" i="3"/>
  <c r="DB141" i="3"/>
  <c r="DC141" i="3"/>
  <c r="A142" i="3"/>
  <c r="CY142" i="3"/>
  <c r="CZ142" i="3"/>
  <c r="DA142" i="3"/>
  <c r="DB142" i="3"/>
  <c r="DC142" i="3"/>
  <c r="A143" i="3"/>
  <c r="CY143" i="3"/>
  <c r="CZ143" i="3"/>
  <c r="DA143" i="3"/>
  <c r="DB143" i="3"/>
  <c r="DC143" i="3"/>
  <c r="A144" i="3"/>
  <c r="CY144" i="3"/>
  <c r="CZ144" i="3"/>
  <c r="DA144" i="3"/>
  <c r="DB144" i="3"/>
  <c r="DC144" i="3"/>
  <c r="A145" i="3"/>
  <c r="CY145" i="3"/>
  <c r="CZ145" i="3"/>
  <c r="DA145" i="3"/>
  <c r="DB145" i="3"/>
  <c r="DC145" i="3"/>
  <c r="A146" i="3"/>
  <c r="CY146" i="3"/>
  <c r="CZ146" i="3"/>
  <c r="DA146" i="3"/>
  <c r="DB146" i="3"/>
  <c r="DC146" i="3"/>
  <c r="A147" i="3"/>
  <c r="CY147" i="3"/>
  <c r="CZ147" i="3"/>
  <c r="DA147" i="3"/>
  <c r="DB147" i="3"/>
  <c r="DC147" i="3"/>
  <c r="A148" i="3"/>
  <c r="CY148" i="3"/>
  <c r="CZ148" i="3"/>
  <c r="DA148" i="3"/>
  <c r="DB148" i="3"/>
  <c r="DC148" i="3"/>
  <c r="A149" i="3"/>
  <c r="CY149" i="3"/>
  <c r="CZ149" i="3"/>
  <c r="DA149" i="3"/>
  <c r="DB149" i="3"/>
  <c r="DC149" i="3"/>
  <c r="A150" i="3"/>
  <c r="CY150" i="3"/>
  <c r="CZ150" i="3"/>
  <c r="DA150" i="3"/>
  <c r="DB150" i="3"/>
  <c r="DC150" i="3"/>
  <c r="A151" i="3"/>
  <c r="CY151" i="3"/>
  <c r="CZ151" i="3"/>
  <c r="DA151" i="3"/>
  <c r="DB151" i="3"/>
  <c r="DC151" i="3"/>
  <c r="A152" i="3"/>
  <c r="CY152" i="3"/>
  <c r="CZ152" i="3"/>
  <c r="DA152" i="3"/>
  <c r="DB152" i="3"/>
  <c r="DC152" i="3"/>
  <c r="A153" i="3"/>
  <c r="CY153" i="3"/>
  <c r="CZ153" i="3"/>
  <c r="DA153" i="3"/>
  <c r="DB153" i="3"/>
  <c r="DC153" i="3"/>
  <c r="A154" i="3"/>
  <c r="CY154" i="3"/>
  <c r="CZ154" i="3"/>
  <c r="DA154" i="3"/>
  <c r="DB154" i="3"/>
  <c r="DC154" i="3"/>
  <c r="A155" i="3"/>
  <c r="CY155" i="3"/>
  <c r="CZ155" i="3"/>
  <c r="DA155" i="3"/>
  <c r="DB155" i="3"/>
  <c r="DC155" i="3"/>
  <c r="A156" i="3"/>
  <c r="CY156" i="3"/>
  <c r="CZ156" i="3"/>
  <c r="DA156" i="3"/>
  <c r="DB156" i="3"/>
  <c r="DC156" i="3"/>
  <c r="A157" i="3"/>
  <c r="CY157" i="3"/>
  <c r="CZ157" i="3"/>
  <c r="DA157" i="3"/>
  <c r="DB157" i="3"/>
  <c r="DC157" i="3"/>
  <c r="A158" i="3"/>
  <c r="CY158" i="3"/>
  <c r="CZ158" i="3"/>
  <c r="DA158" i="3"/>
  <c r="DB158" i="3"/>
  <c r="DC158" i="3"/>
  <c r="A159" i="3"/>
  <c r="CY159" i="3"/>
  <c r="CZ159" i="3"/>
  <c r="DA159" i="3"/>
  <c r="DB159" i="3"/>
  <c r="DC159" i="3"/>
  <c r="A160" i="3"/>
  <c r="CY160" i="3"/>
  <c r="CZ160" i="3"/>
  <c r="DA160" i="3"/>
  <c r="DB160" i="3"/>
  <c r="DC160" i="3"/>
  <c r="A161" i="3"/>
  <c r="CY161" i="3"/>
  <c r="CZ161" i="3"/>
  <c r="DA161" i="3"/>
  <c r="DB161" i="3"/>
  <c r="DC161" i="3"/>
  <c r="A162" i="3"/>
  <c r="CY162" i="3"/>
  <c r="CZ162" i="3"/>
  <c r="DA162" i="3"/>
  <c r="DB162" i="3"/>
  <c r="DC162" i="3"/>
  <c r="A163" i="3"/>
  <c r="CY163" i="3"/>
  <c r="CZ163" i="3"/>
  <c r="DA163" i="3"/>
  <c r="DB163" i="3"/>
  <c r="DC163" i="3"/>
  <c r="A164" i="3"/>
  <c r="CY164" i="3"/>
  <c r="CZ164" i="3"/>
  <c r="DA164" i="3"/>
  <c r="DB164" i="3"/>
  <c r="DC164" i="3"/>
  <c r="A165" i="3"/>
  <c r="CY165" i="3"/>
  <c r="CZ165" i="3"/>
  <c r="DA165" i="3"/>
  <c r="DB165" i="3"/>
  <c r="DC165" i="3"/>
  <c r="A166" i="3"/>
  <c r="CY166" i="3"/>
  <c r="CZ166" i="3"/>
  <c r="DA166" i="3"/>
  <c r="DB166" i="3"/>
  <c r="DC166" i="3"/>
  <c r="A167" i="3"/>
  <c r="CX167" i="3"/>
  <c r="CY167" i="3"/>
  <c r="CZ167" i="3"/>
  <c r="DA167" i="3"/>
  <c r="DB167" i="3"/>
  <c r="DC167" i="3"/>
  <c r="A168" i="3"/>
  <c r="CX168" i="3"/>
  <c r="CY168" i="3"/>
  <c r="CZ168" i="3"/>
  <c r="DA168" i="3"/>
  <c r="DB168" i="3"/>
  <c r="DC168" i="3"/>
  <c r="A169" i="3"/>
  <c r="CX169" i="3"/>
  <c r="CY169" i="3"/>
  <c r="CZ169" i="3"/>
  <c r="DA169" i="3"/>
  <c r="DB169" i="3"/>
  <c r="DC169" i="3"/>
  <c r="A170" i="3"/>
  <c r="CX170" i="3"/>
  <c r="CY170" i="3"/>
  <c r="CZ170" i="3"/>
  <c r="DA170" i="3"/>
  <c r="DB170" i="3"/>
  <c r="DC170" i="3"/>
  <c r="A171" i="3"/>
  <c r="CX171" i="3"/>
  <c r="CY171" i="3"/>
  <c r="CZ171" i="3"/>
  <c r="DA171" i="3"/>
  <c r="DB171" i="3"/>
  <c r="DC171" i="3"/>
  <c r="A172" i="3"/>
  <c r="CX172" i="3"/>
  <c r="CY172" i="3"/>
  <c r="CZ172" i="3"/>
  <c r="DA172" i="3"/>
  <c r="DB172" i="3"/>
  <c r="DC172" i="3"/>
  <c r="A173" i="3"/>
  <c r="CX173" i="3"/>
  <c r="CY173" i="3"/>
  <c r="CZ173" i="3"/>
  <c r="DA173" i="3"/>
  <c r="DB173" i="3"/>
  <c r="DC173" i="3"/>
  <c r="A174" i="3"/>
  <c r="CY174" i="3"/>
  <c r="CZ174" i="3"/>
  <c r="DA174" i="3"/>
  <c r="DB174" i="3"/>
  <c r="DC174" i="3"/>
  <c r="A175" i="3"/>
  <c r="CY175" i="3"/>
  <c r="CZ175" i="3"/>
  <c r="DA175" i="3"/>
  <c r="DB175" i="3"/>
  <c r="DC175" i="3"/>
  <c r="A176" i="3"/>
  <c r="CY176" i="3"/>
  <c r="CZ176" i="3"/>
  <c r="DA176" i="3"/>
  <c r="DB176" i="3"/>
  <c r="DC176" i="3"/>
  <c r="A177" i="3"/>
  <c r="CY177" i="3"/>
  <c r="CZ177" i="3"/>
  <c r="DA177" i="3"/>
  <c r="DB177" i="3"/>
  <c r="DC177" i="3"/>
  <c r="A178" i="3"/>
  <c r="CY178" i="3"/>
  <c r="CZ178" i="3"/>
  <c r="DA178" i="3"/>
  <c r="DB178" i="3"/>
  <c r="DC178" i="3"/>
  <c r="A179" i="3"/>
  <c r="CY179" i="3"/>
  <c r="CZ179" i="3"/>
  <c r="DA179" i="3"/>
  <c r="DB179" i="3"/>
  <c r="DC179" i="3"/>
  <c r="A180" i="3"/>
  <c r="CY180" i="3"/>
  <c r="CZ180" i="3"/>
  <c r="DA180" i="3"/>
  <c r="DB180" i="3"/>
  <c r="DC180" i="3"/>
  <c r="A181" i="3"/>
  <c r="CY181" i="3"/>
  <c r="CZ181" i="3"/>
  <c r="DA181" i="3"/>
  <c r="DB181" i="3"/>
  <c r="DC181" i="3"/>
  <c r="A182" i="3"/>
  <c r="CY182" i="3"/>
  <c r="CZ182" i="3"/>
  <c r="DA182" i="3"/>
  <c r="DB182" i="3"/>
  <c r="DC182" i="3"/>
  <c r="A183" i="3"/>
  <c r="CY183" i="3"/>
  <c r="CZ183" i="3"/>
  <c r="DA183" i="3"/>
  <c r="DB183" i="3"/>
  <c r="DC183" i="3"/>
  <c r="A184" i="3"/>
  <c r="CY184" i="3"/>
  <c r="CZ184" i="3"/>
  <c r="DA184" i="3"/>
  <c r="DB184" i="3"/>
  <c r="DC184" i="3"/>
  <c r="A185" i="3"/>
  <c r="CY185" i="3"/>
  <c r="CZ185" i="3"/>
  <c r="DA185" i="3"/>
  <c r="DB185" i="3"/>
  <c r="DC185" i="3"/>
  <c r="A186" i="3"/>
  <c r="CY186" i="3"/>
  <c r="CZ186" i="3"/>
  <c r="DA186" i="3"/>
  <c r="DB186" i="3"/>
  <c r="DC186" i="3"/>
  <c r="A187" i="3"/>
  <c r="CY187" i="3"/>
  <c r="CZ187" i="3"/>
  <c r="DA187" i="3"/>
  <c r="DB187" i="3"/>
  <c r="DC187" i="3"/>
  <c r="A188" i="3"/>
  <c r="CY188" i="3"/>
  <c r="CZ188" i="3"/>
  <c r="DA188" i="3"/>
  <c r="DB188" i="3"/>
  <c r="DC188" i="3"/>
  <c r="A189" i="3"/>
  <c r="CY189" i="3"/>
  <c r="CZ189" i="3"/>
  <c r="DA189" i="3"/>
  <c r="DB189" i="3"/>
  <c r="DC189" i="3"/>
  <c r="A190" i="3"/>
  <c r="CY190" i="3"/>
  <c r="CZ190" i="3"/>
  <c r="DA190" i="3"/>
  <c r="DB190" i="3"/>
  <c r="DC19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I24" i="1"/>
  <c r="P24" i="1"/>
  <c r="CP24" i="1" s="1"/>
  <c r="O24" i="1" s="1"/>
  <c r="X24" i="1"/>
  <c r="AC24" i="1"/>
  <c r="AD24" i="1"/>
  <c r="CR24" i="1" s="1"/>
  <c r="Q24" i="1" s="1"/>
  <c r="AE24" i="1"/>
  <c r="AF24" i="1"/>
  <c r="CT24" i="1" s="1"/>
  <c r="S24" i="1" s="1"/>
  <c r="CZ24" i="1" s="1"/>
  <c r="Y24" i="1" s="1"/>
  <c r="AG24" i="1"/>
  <c r="AH24" i="1"/>
  <c r="CV24" i="1" s="1"/>
  <c r="U24" i="1" s="1"/>
  <c r="AI24" i="1"/>
  <c r="AJ24" i="1"/>
  <c r="CX24" i="1" s="1"/>
  <c r="W24" i="1" s="1"/>
  <c r="CQ24" i="1"/>
  <c r="CS24" i="1"/>
  <c r="R24" i="1" s="1"/>
  <c r="GK24" i="1" s="1"/>
  <c r="CU24" i="1"/>
  <c r="T24" i="1" s="1"/>
  <c r="CW24" i="1"/>
  <c r="V24" i="1" s="1"/>
  <c r="CY24" i="1"/>
  <c r="FR24" i="1"/>
  <c r="GL24" i="1"/>
  <c r="GO24" i="1"/>
  <c r="GP24" i="1"/>
  <c r="GV24" i="1"/>
  <c r="GX24" i="1"/>
  <c r="HC24" i="1"/>
  <c r="I25" i="1"/>
  <c r="P25" i="1"/>
  <c r="CP25" i="1" s="1"/>
  <c r="O25" i="1" s="1"/>
  <c r="X25" i="1"/>
  <c r="AC25" i="1"/>
  <c r="AD25" i="1"/>
  <c r="CR25" i="1" s="1"/>
  <c r="Q25" i="1" s="1"/>
  <c r="AE25" i="1"/>
  <c r="AF25" i="1"/>
  <c r="CT25" i="1" s="1"/>
  <c r="S25" i="1" s="1"/>
  <c r="CZ25" i="1" s="1"/>
  <c r="Y25" i="1" s="1"/>
  <c r="AG25" i="1"/>
  <c r="AH25" i="1"/>
  <c r="CV25" i="1" s="1"/>
  <c r="U25" i="1" s="1"/>
  <c r="AI25" i="1"/>
  <c r="AJ25" i="1"/>
  <c r="CX25" i="1" s="1"/>
  <c r="W25" i="1" s="1"/>
  <c r="CQ25" i="1"/>
  <c r="CS25" i="1"/>
  <c r="R25" i="1" s="1"/>
  <c r="CU25" i="1"/>
  <c r="T25" i="1" s="1"/>
  <c r="CW25" i="1"/>
  <c r="V25" i="1" s="1"/>
  <c r="CY25" i="1"/>
  <c r="FR25" i="1"/>
  <c r="GL25" i="1"/>
  <c r="GO25" i="1"/>
  <c r="GP25" i="1"/>
  <c r="GV25" i="1"/>
  <c r="HC25" i="1" s="1"/>
  <c r="GX25" i="1" s="1"/>
  <c r="AC26" i="1"/>
  <c r="AD26" i="1"/>
  <c r="AE26" i="1"/>
  <c r="CS26" i="1" s="1"/>
  <c r="AF26" i="1"/>
  <c r="AG26" i="1"/>
  <c r="CU26" i="1" s="1"/>
  <c r="AH26" i="1"/>
  <c r="AI26" i="1"/>
  <c r="CW26" i="1" s="1"/>
  <c r="AJ26" i="1"/>
  <c r="CR26" i="1"/>
  <c r="CT26" i="1"/>
  <c r="CV26" i="1"/>
  <c r="CX26" i="1"/>
  <c r="FR26" i="1"/>
  <c r="GL26" i="1"/>
  <c r="GO26" i="1"/>
  <c r="GP26" i="1"/>
  <c r="GV26" i="1"/>
  <c r="HC26" i="1"/>
  <c r="I27" i="1"/>
  <c r="AC27" i="1"/>
  <c r="AD27" i="1"/>
  <c r="CR27" i="1" s="1"/>
  <c r="Q27" i="1" s="1"/>
  <c r="AE27" i="1"/>
  <c r="AF27" i="1"/>
  <c r="CT27" i="1" s="1"/>
  <c r="S27" i="1" s="1"/>
  <c r="AG27" i="1"/>
  <c r="AH27" i="1"/>
  <c r="CV27" i="1" s="1"/>
  <c r="U27" i="1" s="1"/>
  <c r="AI27" i="1"/>
  <c r="AJ27" i="1"/>
  <c r="CX27" i="1" s="1"/>
  <c r="W27" i="1" s="1"/>
  <c r="CQ27" i="1"/>
  <c r="P27" i="1" s="1"/>
  <c r="CS27" i="1"/>
  <c r="R27" i="1" s="1"/>
  <c r="CU27" i="1"/>
  <c r="T27" i="1" s="1"/>
  <c r="CW27" i="1"/>
  <c r="V27" i="1" s="1"/>
  <c r="FR27" i="1"/>
  <c r="GL27" i="1"/>
  <c r="GO27" i="1"/>
  <c r="GP27" i="1"/>
  <c r="GV27" i="1"/>
  <c r="HC27" i="1"/>
  <c r="GX27" i="1" s="1"/>
  <c r="AC28" i="1"/>
  <c r="AD28" i="1"/>
  <c r="AE28" i="1"/>
  <c r="CS28" i="1" s="1"/>
  <c r="AF28" i="1"/>
  <c r="AG28" i="1"/>
  <c r="CU28" i="1" s="1"/>
  <c r="AH28" i="1"/>
  <c r="AI28" i="1"/>
  <c r="CW28" i="1" s="1"/>
  <c r="AJ28" i="1"/>
  <c r="CR28" i="1"/>
  <c r="CT28" i="1"/>
  <c r="CV28" i="1"/>
  <c r="CX28" i="1"/>
  <c r="FR28" i="1"/>
  <c r="GL28" i="1"/>
  <c r="GO28" i="1"/>
  <c r="GP28" i="1"/>
  <c r="GV28" i="1"/>
  <c r="HC28" i="1"/>
  <c r="I29" i="1"/>
  <c r="AC29" i="1"/>
  <c r="AD29" i="1"/>
  <c r="CR29" i="1" s="1"/>
  <c r="Q29" i="1" s="1"/>
  <c r="AE29" i="1"/>
  <c r="AF29" i="1"/>
  <c r="CT29" i="1" s="1"/>
  <c r="S29" i="1" s="1"/>
  <c r="AG29" i="1"/>
  <c r="AH29" i="1"/>
  <c r="AI29" i="1"/>
  <c r="AJ29" i="1"/>
  <c r="CQ29" i="1"/>
  <c r="P29" i="1" s="1"/>
  <c r="CP29" i="1" s="1"/>
  <c r="O29" i="1" s="1"/>
  <c r="CS29" i="1"/>
  <c r="R29" i="1" s="1"/>
  <c r="CU29" i="1"/>
  <c r="T29" i="1" s="1"/>
  <c r="CV29" i="1"/>
  <c r="U29" i="1" s="1"/>
  <c r="CW29" i="1"/>
  <c r="V29" i="1" s="1"/>
  <c r="CX29" i="1"/>
  <c r="W29" i="1" s="1"/>
  <c r="CY29" i="1"/>
  <c r="X29" i="1" s="1"/>
  <c r="CZ29" i="1"/>
  <c r="Y29" i="1" s="1"/>
  <c r="FR29" i="1"/>
  <c r="GL29" i="1"/>
  <c r="GO29" i="1"/>
  <c r="GP29" i="1"/>
  <c r="GV29" i="1"/>
  <c r="HC29" i="1"/>
  <c r="GX29" i="1" s="1"/>
  <c r="C30" i="1"/>
  <c r="D30" i="1"/>
  <c r="I30" i="1"/>
  <c r="AC30" i="1"/>
  <c r="AD30" i="1"/>
  <c r="AE30" i="1"/>
  <c r="CS30" i="1" s="1"/>
  <c r="R30" i="1" s="1"/>
  <c r="GK30" i="1" s="1"/>
  <c r="AF30" i="1"/>
  <c r="AG30" i="1"/>
  <c r="CU30" i="1" s="1"/>
  <c r="T30" i="1" s="1"/>
  <c r="AH30" i="1"/>
  <c r="AI30" i="1"/>
  <c r="CW30" i="1" s="1"/>
  <c r="V30" i="1" s="1"/>
  <c r="AJ30" i="1"/>
  <c r="CR30" i="1"/>
  <c r="Q30" i="1" s="1"/>
  <c r="CT30" i="1"/>
  <c r="S30" i="1" s="1"/>
  <c r="CV30" i="1"/>
  <c r="U30" i="1" s="1"/>
  <c r="CX30" i="1"/>
  <c r="W30" i="1" s="1"/>
  <c r="FR30" i="1"/>
  <c r="GL30" i="1"/>
  <c r="GO30" i="1"/>
  <c r="GP30" i="1"/>
  <c r="GV30" i="1"/>
  <c r="HC30" i="1" s="1"/>
  <c r="GX30" i="1" s="1"/>
  <c r="I31" i="1"/>
  <c r="AC31" i="1"/>
  <c r="AD31" i="1"/>
  <c r="AE31" i="1"/>
  <c r="CS31" i="1" s="1"/>
  <c r="R31" i="1" s="1"/>
  <c r="AF31" i="1"/>
  <c r="AG31" i="1"/>
  <c r="CU31" i="1" s="1"/>
  <c r="T31" i="1" s="1"/>
  <c r="AH31" i="1"/>
  <c r="AI31" i="1"/>
  <c r="CW31" i="1" s="1"/>
  <c r="V31" i="1" s="1"/>
  <c r="AJ31" i="1"/>
  <c r="CR31" i="1"/>
  <c r="Q31" i="1" s="1"/>
  <c r="CT31" i="1"/>
  <c r="S31" i="1" s="1"/>
  <c r="CV31" i="1"/>
  <c r="U31" i="1" s="1"/>
  <c r="CX31" i="1"/>
  <c r="W31" i="1" s="1"/>
  <c r="FR31" i="1"/>
  <c r="GL31" i="1"/>
  <c r="GO31" i="1"/>
  <c r="GP31" i="1"/>
  <c r="GV31" i="1"/>
  <c r="GX31" i="1"/>
  <c r="HC31" i="1"/>
  <c r="I32" i="1"/>
  <c r="AC32" i="1"/>
  <c r="AD32" i="1"/>
  <c r="CR32" i="1" s="1"/>
  <c r="Q32" i="1" s="1"/>
  <c r="AE32" i="1"/>
  <c r="AF32" i="1"/>
  <c r="CT32" i="1" s="1"/>
  <c r="S32" i="1" s="1"/>
  <c r="CZ32" i="1" s="1"/>
  <c r="Y32" i="1" s="1"/>
  <c r="AG32" i="1"/>
  <c r="AH32" i="1"/>
  <c r="CV32" i="1" s="1"/>
  <c r="U32" i="1" s="1"/>
  <c r="AI32" i="1"/>
  <c r="AJ32" i="1"/>
  <c r="CX32" i="1" s="1"/>
  <c r="W32" i="1" s="1"/>
  <c r="CQ32" i="1"/>
  <c r="P32" i="1" s="1"/>
  <c r="CP32" i="1" s="1"/>
  <c r="O32" i="1" s="1"/>
  <c r="CS32" i="1"/>
  <c r="R32" i="1" s="1"/>
  <c r="CU32" i="1"/>
  <c r="T32" i="1" s="1"/>
  <c r="CW32" i="1"/>
  <c r="V32" i="1" s="1"/>
  <c r="CY32" i="1"/>
  <c r="X32" i="1" s="1"/>
  <c r="FR32" i="1"/>
  <c r="GL32" i="1"/>
  <c r="GO32" i="1"/>
  <c r="GP32" i="1"/>
  <c r="GV32" i="1"/>
  <c r="HC32" i="1" s="1"/>
  <c r="GX32" i="1" s="1"/>
  <c r="C33" i="1"/>
  <c r="D33" i="1"/>
  <c r="I33" i="1"/>
  <c r="AC33" i="1"/>
  <c r="AD33" i="1"/>
  <c r="AE33" i="1"/>
  <c r="CS33" i="1" s="1"/>
  <c r="R33" i="1" s="1"/>
  <c r="AF33" i="1"/>
  <c r="AG33" i="1"/>
  <c r="CU33" i="1" s="1"/>
  <c r="T33" i="1" s="1"/>
  <c r="AH33" i="1"/>
  <c r="AI33" i="1"/>
  <c r="CW33" i="1" s="1"/>
  <c r="V33" i="1" s="1"/>
  <c r="AJ33" i="1"/>
  <c r="CR33" i="1"/>
  <c r="Q33" i="1" s="1"/>
  <c r="CT33" i="1"/>
  <c r="S33" i="1" s="1"/>
  <c r="CV33" i="1"/>
  <c r="U33" i="1" s="1"/>
  <c r="CX33" i="1"/>
  <c r="W33" i="1" s="1"/>
  <c r="FR33" i="1"/>
  <c r="GK33" i="1"/>
  <c r="GL33" i="1"/>
  <c r="GO33" i="1"/>
  <c r="GP33" i="1"/>
  <c r="GV33" i="1"/>
  <c r="HC33" i="1"/>
  <c r="GX33" i="1" s="1"/>
  <c r="I34" i="1"/>
  <c r="AC34" i="1"/>
  <c r="AD34" i="1"/>
  <c r="AE34" i="1"/>
  <c r="CS34" i="1" s="1"/>
  <c r="R34" i="1" s="1"/>
  <c r="AF34" i="1"/>
  <c r="AG34" i="1"/>
  <c r="CU34" i="1" s="1"/>
  <c r="T34" i="1" s="1"/>
  <c r="AH34" i="1"/>
  <c r="AI34" i="1"/>
  <c r="CW34" i="1" s="1"/>
  <c r="V34" i="1" s="1"/>
  <c r="AJ34" i="1"/>
  <c r="CR34" i="1"/>
  <c r="Q34" i="1" s="1"/>
  <c r="CT34" i="1"/>
  <c r="S34" i="1" s="1"/>
  <c r="CV34" i="1"/>
  <c r="U34" i="1" s="1"/>
  <c r="CX34" i="1"/>
  <c r="W34" i="1" s="1"/>
  <c r="FR34" i="1"/>
  <c r="GL34" i="1"/>
  <c r="GO34" i="1"/>
  <c r="GP34" i="1"/>
  <c r="GV34" i="1"/>
  <c r="GX34" i="1"/>
  <c r="HC34" i="1"/>
  <c r="C35" i="1"/>
  <c r="D35" i="1"/>
  <c r="I35" i="1"/>
  <c r="AC35" i="1"/>
  <c r="AD35" i="1"/>
  <c r="CR35" i="1" s="1"/>
  <c r="Q35" i="1" s="1"/>
  <c r="AE35" i="1"/>
  <c r="AF35" i="1"/>
  <c r="CT35" i="1" s="1"/>
  <c r="S35" i="1" s="1"/>
  <c r="CZ35" i="1" s="1"/>
  <c r="Y35" i="1" s="1"/>
  <c r="AG35" i="1"/>
  <c r="AH35" i="1"/>
  <c r="CV35" i="1" s="1"/>
  <c r="U35" i="1" s="1"/>
  <c r="AI35" i="1"/>
  <c r="AJ35" i="1"/>
  <c r="CX35" i="1" s="1"/>
  <c r="W35" i="1" s="1"/>
  <c r="CQ35" i="1"/>
  <c r="P35" i="1" s="1"/>
  <c r="CP35" i="1" s="1"/>
  <c r="O35" i="1" s="1"/>
  <c r="CS35" i="1"/>
  <c r="R35" i="1" s="1"/>
  <c r="GK35" i="1" s="1"/>
  <c r="CU35" i="1"/>
  <c r="T35" i="1" s="1"/>
  <c r="CW35" i="1"/>
  <c r="V35" i="1" s="1"/>
  <c r="FR35" i="1"/>
  <c r="GL35" i="1"/>
  <c r="GO35" i="1"/>
  <c r="GP35" i="1"/>
  <c r="GV35" i="1"/>
  <c r="GX35" i="1"/>
  <c r="HC35" i="1"/>
  <c r="I36" i="1"/>
  <c r="AC36" i="1"/>
  <c r="AD36" i="1"/>
  <c r="CR36" i="1" s="1"/>
  <c r="Q36" i="1" s="1"/>
  <c r="AE36" i="1"/>
  <c r="AF36" i="1"/>
  <c r="CT36" i="1" s="1"/>
  <c r="S36" i="1" s="1"/>
  <c r="CZ36" i="1" s="1"/>
  <c r="Y36" i="1" s="1"/>
  <c r="AG36" i="1"/>
  <c r="AH36" i="1"/>
  <c r="CV36" i="1" s="1"/>
  <c r="U36" i="1" s="1"/>
  <c r="AI36" i="1"/>
  <c r="AJ36" i="1"/>
  <c r="CX36" i="1" s="1"/>
  <c r="W36" i="1" s="1"/>
  <c r="CQ36" i="1"/>
  <c r="P36" i="1" s="1"/>
  <c r="CP36" i="1" s="1"/>
  <c r="O36" i="1" s="1"/>
  <c r="CS36" i="1"/>
  <c r="R36" i="1" s="1"/>
  <c r="CU36" i="1"/>
  <c r="T36" i="1" s="1"/>
  <c r="CW36" i="1"/>
  <c r="V36" i="1" s="1"/>
  <c r="FR36" i="1"/>
  <c r="GL36" i="1"/>
  <c r="GO36" i="1"/>
  <c r="GP36" i="1"/>
  <c r="GV36" i="1"/>
  <c r="HC36" i="1"/>
  <c r="GX36" i="1" s="1"/>
  <c r="AC37" i="1"/>
  <c r="AD37" i="1"/>
  <c r="AE37" i="1"/>
  <c r="CS37" i="1" s="1"/>
  <c r="AF37" i="1"/>
  <c r="AG37" i="1"/>
  <c r="CU37" i="1" s="1"/>
  <c r="AH37" i="1"/>
  <c r="AI37" i="1"/>
  <c r="CW37" i="1" s="1"/>
  <c r="AJ37" i="1"/>
  <c r="CR37" i="1"/>
  <c r="CT37" i="1"/>
  <c r="CV37" i="1"/>
  <c r="CX37" i="1"/>
  <c r="FR37" i="1"/>
  <c r="GL37" i="1"/>
  <c r="GO37" i="1"/>
  <c r="GP37" i="1"/>
  <c r="GV37" i="1"/>
  <c r="HC37" i="1"/>
  <c r="I38" i="1"/>
  <c r="AC38" i="1"/>
  <c r="AD38" i="1"/>
  <c r="CR38" i="1" s="1"/>
  <c r="Q38" i="1" s="1"/>
  <c r="AE38" i="1"/>
  <c r="AF38" i="1"/>
  <c r="CT38" i="1" s="1"/>
  <c r="S38" i="1" s="1"/>
  <c r="CZ38" i="1" s="1"/>
  <c r="Y38" i="1" s="1"/>
  <c r="AG38" i="1"/>
  <c r="AH38" i="1"/>
  <c r="CV38" i="1" s="1"/>
  <c r="U38" i="1" s="1"/>
  <c r="AI38" i="1"/>
  <c r="AJ38" i="1"/>
  <c r="CX38" i="1" s="1"/>
  <c r="W38" i="1" s="1"/>
  <c r="CQ38" i="1"/>
  <c r="P38" i="1" s="1"/>
  <c r="CP38" i="1" s="1"/>
  <c r="O38" i="1" s="1"/>
  <c r="CS38" i="1"/>
  <c r="R38" i="1" s="1"/>
  <c r="CU38" i="1"/>
  <c r="T38" i="1" s="1"/>
  <c r="CW38" i="1"/>
  <c r="V38" i="1" s="1"/>
  <c r="CY38" i="1"/>
  <c r="X38" i="1" s="1"/>
  <c r="FR38" i="1"/>
  <c r="GL38" i="1"/>
  <c r="GO38" i="1"/>
  <c r="GP38" i="1"/>
  <c r="GV38" i="1"/>
  <c r="HC38" i="1" s="1"/>
  <c r="GX38" i="1" s="1"/>
  <c r="C39" i="1"/>
  <c r="D39" i="1"/>
  <c r="I39" i="1"/>
  <c r="AC39" i="1"/>
  <c r="AD39" i="1"/>
  <c r="AE39" i="1"/>
  <c r="CS39" i="1" s="1"/>
  <c r="R39" i="1" s="1"/>
  <c r="AF39" i="1"/>
  <c r="AG39" i="1"/>
  <c r="CU39" i="1" s="1"/>
  <c r="T39" i="1" s="1"/>
  <c r="AH39" i="1"/>
  <c r="AI39" i="1"/>
  <c r="CW39" i="1" s="1"/>
  <c r="V39" i="1" s="1"/>
  <c r="AJ39" i="1"/>
  <c r="CR39" i="1"/>
  <c r="Q39" i="1" s="1"/>
  <c r="CT39" i="1"/>
  <c r="S39" i="1" s="1"/>
  <c r="CV39" i="1"/>
  <c r="U39" i="1" s="1"/>
  <c r="CX39" i="1"/>
  <c r="W39" i="1" s="1"/>
  <c r="FR39" i="1"/>
  <c r="GK39" i="1"/>
  <c r="GL39" i="1"/>
  <c r="GO39" i="1"/>
  <c r="GP39" i="1"/>
  <c r="GV39" i="1"/>
  <c r="HC39" i="1"/>
  <c r="GX39" i="1" s="1"/>
  <c r="I40" i="1"/>
  <c r="AC40" i="1"/>
  <c r="AD40" i="1"/>
  <c r="AE40" i="1"/>
  <c r="CS40" i="1" s="1"/>
  <c r="R40" i="1" s="1"/>
  <c r="AF40" i="1"/>
  <c r="AG40" i="1"/>
  <c r="CU40" i="1" s="1"/>
  <c r="T40" i="1" s="1"/>
  <c r="AH40" i="1"/>
  <c r="AI40" i="1"/>
  <c r="CW40" i="1" s="1"/>
  <c r="V40" i="1" s="1"/>
  <c r="AJ40" i="1"/>
  <c r="CR40" i="1"/>
  <c r="Q40" i="1" s="1"/>
  <c r="CT40" i="1"/>
  <c r="S40" i="1" s="1"/>
  <c r="CV40" i="1"/>
  <c r="U40" i="1" s="1"/>
  <c r="CX40" i="1"/>
  <c r="W40" i="1" s="1"/>
  <c r="FR40" i="1"/>
  <c r="GL40" i="1"/>
  <c r="GO40" i="1"/>
  <c r="GP40" i="1"/>
  <c r="GV40" i="1"/>
  <c r="GX40" i="1"/>
  <c r="HC40" i="1"/>
  <c r="C41" i="1"/>
  <c r="D41" i="1"/>
  <c r="I41" i="1"/>
  <c r="AC41" i="1"/>
  <c r="AD41" i="1"/>
  <c r="CR41" i="1" s="1"/>
  <c r="Q41" i="1" s="1"/>
  <c r="AE41" i="1"/>
  <c r="AF41" i="1"/>
  <c r="CT41" i="1" s="1"/>
  <c r="S41" i="1" s="1"/>
  <c r="CZ41" i="1" s="1"/>
  <c r="Y41" i="1" s="1"/>
  <c r="AG41" i="1"/>
  <c r="AH41" i="1"/>
  <c r="CV41" i="1" s="1"/>
  <c r="U41" i="1" s="1"/>
  <c r="AI41" i="1"/>
  <c r="AJ41" i="1"/>
  <c r="CX41" i="1" s="1"/>
  <c r="W41" i="1" s="1"/>
  <c r="CQ41" i="1"/>
  <c r="P41" i="1" s="1"/>
  <c r="CP41" i="1" s="1"/>
  <c r="O41" i="1" s="1"/>
  <c r="CS41" i="1"/>
  <c r="R41" i="1" s="1"/>
  <c r="GK41" i="1" s="1"/>
  <c r="CU41" i="1"/>
  <c r="T41" i="1" s="1"/>
  <c r="CW41" i="1"/>
  <c r="V41" i="1" s="1"/>
  <c r="FR41" i="1"/>
  <c r="GL41" i="1"/>
  <c r="GO41" i="1"/>
  <c r="GP41" i="1"/>
  <c r="GV41" i="1"/>
  <c r="GX41" i="1"/>
  <c r="HC41" i="1"/>
  <c r="I42" i="1"/>
  <c r="AC42" i="1"/>
  <c r="AD42" i="1"/>
  <c r="CR42" i="1" s="1"/>
  <c r="Q42" i="1" s="1"/>
  <c r="AE42" i="1"/>
  <c r="AF42" i="1"/>
  <c r="CT42" i="1" s="1"/>
  <c r="S42" i="1" s="1"/>
  <c r="CZ42" i="1" s="1"/>
  <c r="Y42" i="1" s="1"/>
  <c r="AG42" i="1"/>
  <c r="AH42" i="1"/>
  <c r="CV42" i="1" s="1"/>
  <c r="U42" i="1" s="1"/>
  <c r="AI42" i="1"/>
  <c r="AJ42" i="1"/>
  <c r="CX42" i="1" s="1"/>
  <c r="W42" i="1" s="1"/>
  <c r="CQ42" i="1"/>
  <c r="P42" i="1" s="1"/>
  <c r="CP42" i="1" s="1"/>
  <c r="O42" i="1" s="1"/>
  <c r="CS42" i="1"/>
  <c r="R42" i="1" s="1"/>
  <c r="CU42" i="1"/>
  <c r="T42" i="1" s="1"/>
  <c r="CW42" i="1"/>
  <c r="V42" i="1" s="1"/>
  <c r="FR42" i="1"/>
  <c r="GL42" i="1"/>
  <c r="GO42" i="1"/>
  <c r="GP42" i="1"/>
  <c r="GV42" i="1"/>
  <c r="HC42" i="1"/>
  <c r="GX42" i="1" s="1"/>
  <c r="C43" i="1"/>
  <c r="D43" i="1"/>
  <c r="I43" i="1"/>
  <c r="W43" i="1"/>
  <c r="AC43" i="1"/>
  <c r="AD43" i="1"/>
  <c r="AE43" i="1"/>
  <c r="CS43" i="1" s="1"/>
  <c r="R43" i="1" s="1"/>
  <c r="GK43" i="1" s="1"/>
  <c r="AF43" i="1"/>
  <c r="AG43" i="1"/>
  <c r="CU43" i="1" s="1"/>
  <c r="T43" i="1" s="1"/>
  <c r="AH43" i="1"/>
  <c r="AI43" i="1"/>
  <c r="CW43" i="1" s="1"/>
  <c r="V43" i="1" s="1"/>
  <c r="AJ43" i="1"/>
  <c r="CR43" i="1"/>
  <c r="Q43" i="1" s="1"/>
  <c r="CT43" i="1"/>
  <c r="S43" i="1" s="1"/>
  <c r="CV43" i="1"/>
  <c r="U43" i="1" s="1"/>
  <c r="CX43" i="1"/>
  <c r="FR43" i="1"/>
  <c r="GL43" i="1"/>
  <c r="GO43" i="1"/>
  <c r="GP43" i="1"/>
  <c r="GV43" i="1"/>
  <c r="HC43" i="1" s="1"/>
  <c r="GX43" i="1" s="1"/>
  <c r="I44" i="1"/>
  <c r="Q44" i="1"/>
  <c r="AC44" i="1"/>
  <c r="AD44" i="1"/>
  <c r="AE44" i="1"/>
  <c r="CS44" i="1" s="1"/>
  <c r="R44" i="1" s="1"/>
  <c r="AF44" i="1"/>
  <c r="AG44" i="1"/>
  <c r="CU44" i="1" s="1"/>
  <c r="T44" i="1" s="1"/>
  <c r="AH44" i="1"/>
  <c r="AI44" i="1"/>
  <c r="CW44" i="1" s="1"/>
  <c r="V44" i="1" s="1"/>
  <c r="AJ44" i="1"/>
  <c r="CR44" i="1"/>
  <c r="CT44" i="1"/>
  <c r="S44" i="1" s="1"/>
  <c r="CY44" i="1" s="1"/>
  <c r="X44" i="1" s="1"/>
  <c r="CV44" i="1"/>
  <c r="U44" i="1" s="1"/>
  <c r="CX44" i="1"/>
  <c r="W44" i="1" s="1"/>
  <c r="FR44" i="1"/>
  <c r="GL44" i="1"/>
  <c r="GO44" i="1"/>
  <c r="GP44" i="1"/>
  <c r="GV44" i="1"/>
  <c r="GX44" i="1"/>
  <c r="HC44" i="1"/>
  <c r="I45" i="1"/>
  <c r="P45" i="1"/>
  <c r="CP45" i="1" s="1"/>
  <c r="O45" i="1" s="1"/>
  <c r="X45" i="1"/>
  <c r="AC45" i="1"/>
  <c r="AD45" i="1"/>
  <c r="CR45" i="1" s="1"/>
  <c r="Q45" i="1" s="1"/>
  <c r="AE45" i="1"/>
  <c r="AF45" i="1"/>
  <c r="CT45" i="1" s="1"/>
  <c r="S45" i="1" s="1"/>
  <c r="CZ45" i="1" s="1"/>
  <c r="Y45" i="1" s="1"/>
  <c r="AG45" i="1"/>
  <c r="AH45" i="1"/>
  <c r="CV45" i="1" s="1"/>
  <c r="U45" i="1" s="1"/>
  <c r="AI45" i="1"/>
  <c r="AJ45" i="1"/>
  <c r="CX45" i="1" s="1"/>
  <c r="W45" i="1" s="1"/>
  <c r="CQ45" i="1"/>
  <c r="CS45" i="1"/>
  <c r="R45" i="1" s="1"/>
  <c r="CU45" i="1"/>
  <c r="T45" i="1" s="1"/>
  <c r="CW45" i="1"/>
  <c r="V45" i="1" s="1"/>
  <c r="CY45" i="1"/>
  <c r="FR45" i="1"/>
  <c r="GL45" i="1"/>
  <c r="GO45" i="1"/>
  <c r="GP45" i="1"/>
  <c r="GV45" i="1"/>
  <c r="HC45" i="1" s="1"/>
  <c r="GX45" i="1" s="1"/>
  <c r="C46" i="1"/>
  <c r="I46" i="1"/>
  <c r="CX61" i="3" s="1"/>
  <c r="AC46" i="1"/>
  <c r="AD46" i="1"/>
  <c r="CR46" i="1" s="1"/>
  <c r="Q46" i="1" s="1"/>
  <c r="AE46" i="1"/>
  <c r="AF46" i="1"/>
  <c r="CT46" i="1" s="1"/>
  <c r="S46" i="1" s="1"/>
  <c r="CZ46" i="1" s="1"/>
  <c r="Y46" i="1" s="1"/>
  <c r="AG46" i="1"/>
  <c r="AH46" i="1"/>
  <c r="CV46" i="1" s="1"/>
  <c r="U46" i="1" s="1"/>
  <c r="AI46" i="1"/>
  <c r="AJ46" i="1"/>
  <c r="CX46" i="1" s="1"/>
  <c r="W46" i="1" s="1"/>
  <c r="CQ46" i="1"/>
  <c r="P46" i="1" s="1"/>
  <c r="CP46" i="1" s="1"/>
  <c r="O46" i="1" s="1"/>
  <c r="CS46" i="1"/>
  <c r="R46" i="1" s="1"/>
  <c r="GK46" i="1" s="1"/>
  <c r="CU46" i="1"/>
  <c r="T46" i="1" s="1"/>
  <c r="CW46" i="1"/>
  <c r="V46" i="1" s="1"/>
  <c r="CY46" i="1"/>
  <c r="X46" i="1" s="1"/>
  <c r="FR46" i="1"/>
  <c r="GL46" i="1"/>
  <c r="GO46" i="1"/>
  <c r="GP46" i="1"/>
  <c r="GV46" i="1"/>
  <c r="GX46" i="1"/>
  <c r="HC46" i="1"/>
  <c r="I47" i="1"/>
  <c r="AC47" i="1"/>
  <c r="AD47" i="1"/>
  <c r="CR47" i="1" s="1"/>
  <c r="Q47" i="1" s="1"/>
  <c r="AE47" i="1"/>
  <c r="AF47" i="1"/>
  <c r="CT47" i="1" s="1"/>
  <c r="S47" i="1" s="1"/>
  <c r="CZ47" i="1" s="1"/>
  <c r="Y47" i="1" s="1"/>
  <c r="AG47" i="1"/>
  <c r="AH47" i="1"/>
  <c r="CV47" i="1" s="1"/>
  <c r="U47" i="1" s="1"/>
  <c r="AI47" i="1"/>
  <c r="AJ47" i="1"/>
  <c r="CX47" i="1" s="1"/>
  <c r="W47" i="1" s="1"/>
  <c r="CQ47" i="1"/>
  <c r="P47" i="1" s="1"/>
  <c r="CP47" i="1" s="1"/>
  <c r="O47" i="1" s="1"/>
  <c r="CS47" i="1"/>
  <c r="R47" i="1" s="1"/>
  <c r="CU47" i="1"/>
  <c r="T47" i="1" s="1"/>
  <c r="CW47" i="1"/>
  <c r="V47" i="1" s="1"/>
  <c r="CY47" i="1"/>
  <c r="X47" i="1" s="1"/>
  <c r="FR47" i="1"/>
  <c r="GL47" i="1"/>
  <c r="GO47" i="1"/>
  <c r="GP47" i="1"/>
  <c r="GV47" i="1"/>
  <c r="HC47" i="1" s="1"/>
  <c r="GX47" i="1" s="1"/>
  <c r="C48" i="1"/>
  <c r="D48" i="1"/>
  <c r="I48" i="1"/>
  <c r="AC48" i="1"/>
  <c r="AD48" i="1"/>
  <c r="AE48" i="1"/>
  <c r="CS48" i="1" s="1"/>
  <c r="R48" i="1" s="1"/>
  <c r="AF48" i="1"/>
  <c r="AG48" i="1"/>
  <c r="CU48" i="1" s="1"/>
  <c r="T48" i="1" s="1"/>
  <c r="AH48" i="1"/>
  <c r="AI48" i="1"/>
  <c r="CW48" i="1" s="1"/>
  <c r="V48" i="1" s="1"/>
  <c r="AJ48" i="1"/>
  <c r="CR48" i="1"/>
  <c r="Q48" i="1" s="1"/>
  <c r="CT48" i="1"/>
  <c r="S48" i="1" s="1"/>
  <c r="CV48" i="1"/>
  <c r="U48" i="1" s="1"/>
  <c r="CX48" i="1"/>
  <c r="W48" i="1" s="1"/>
  <c r="FR48" i="1"/>
  <c r="GK48" i="1"/>
  <c r="GL48" i="1"/>
  <c r="GO48" i="1"/>
  <c r="GP48" i="1"/>
  <c r="GV48" i="1"/>
  <c r="HC48" i="1"/>
  <c r="GX48" i="1" s="1"/>
  <c r="I49" i="1"/>
  <c r="AC49" i="1"/>
  <c r="AD49" i="1"/>
  <c r="AE49" i="1"/>
  <c r="CS49" i="1" s="1"/>
  <c r="R49" i="1" s="1"/>
  <c r="AF49" i="1"/>
  <c r="AG49" i="1"/>
  <c r="CU49" i="1" s="1"/>
  <c r="T49" i="1" s="1"/>
  <c r="AH49" i="1"/>
  <c r="AI49" i="1"/>
  <c r="CW49" i="1" s="1"/>
  <c r="V49" i="1" s="1"/>
  <c r="AJ49" i="1"/>
  <c r="CR49" i="1"/>
  <c r="Q49" i="1" s="1"/>
  <c r="CT49" i="1"/>
  <c r="S49" i="1" s="1"/>
  <c r="CV49" i="1"/>
  <c r="U49" i="1" s="1"/>
  <c r="CX49" i="1"/>
  <c r="W49" i="1" s="1"/>
  <c r="FR49" i="1"/>
  <c r="GL49" i="1"/>
  <c r="GO49" i="1"/>
  <c r="GP49" i="1"/>
  <c r="GV49" i="1"/>
  <c r="GX49" i="1"/>
  <c r="HC49" i="1"/>
  <c r="C50" i="1"/>
  <c r="D50" i="1"/>
  <c r="I50" i="1"/>
  <c r="I51" i="1" s="1"/>
  <c r="GX51" i="1" s="1"/>
  <c r="AC50" i="1"/>
  <c r="AB50" i="1" s="1"/>
  <c r="AD50" i="1"/>
  <c r="AE50" i="1"/>
  <c r="CS50" i="1" s="1"/>
  <c r="R50" i="1" s="1"/>
  <c r="GK50" i="1" s="1"/>
  <c r="AF50" i="1"/>
  <c r="AG50" i="1"/>
  <c r="CU50" i="1" s="1"/>
  <c r="T50" i="1" s="1"/>
  <c r="AH50" i="1"/>
  <c r="AI50" i="1"/>
  <c r="CW50" i="1" s="1"/>
  <c r="V50" i="1" s="1"/>
  <c r="AJ50" i="1"/>
  <c r="CR50" i="1"/>
  <c r="Q50" i="1" s="1"/>
  <c r="CT50" i="1"/>
  <c r="S50" i="1" s="1"/>
  <c r="CV50" i="1"/>
  <c r="U50" i="1" s="1"/>
  <c r="CX50" i="1"/>
  <c r="W50" i="1" s="1"/>
  <c r="FR50" i="1"/>
  <c r="GL50" i="1"/>
  <c r="GO50" i="1"/>
  <c r="GP50" i="1"/>
  <c r="GV50" i="1"/>
  <c r="HC50" i="1"/>
  <c r="GX50" i="1" s="1"/>
  <c r="AC51" i="1"/>
  <c r="AB51" i="1" s="1"/>
  <c r="AD51" i="1"/>
  <c r="AE51" i="1"/>
  <c r="CS51" i="1" s="1"/>
  <c r="R51" i="1" s="1"/>
  <c r="AF51" i="1"/>
  <c r="AG51" i="1"/>
  <c r="CU51" i="1" s="1"/>
  <c r="T51" i="1" s="1"/>
  <c r="AH51" i="1"/>
  <c r="AI51" i="1"/>
  <c r="CW51" i="1" s="1"/>
  <c r="V51" i="1" s="1"/>
  <c r="AJ51" i="1"/>
  <c r="CR51" i="1"/>
  <c r="Q51" i="1" s="1"/>
  <c r="CT51" i="1"/>
  <c r="S51" i="1" s="1"/>
  <c r="CV51" i="1"/>
  <c r="U51" i="1" s="1"/>
  <c r="CX51" i="1"/>
  <c r="W51" i="1" s="1"/>
  <c r="FR51" i="1"/>
  <c r="GL51" i="1"/>
  <c r="GO51" i="1"/>
  <c r="GP51" i="1"/>
  <c r="GV51" i="1"/>
  <c r="HC51" i="1"/>
  <c r="C52" i="1"/>
  <c r="D52" i="1"/>
  <c r="I52" i="1"/>
  <c r="I54" i="1" s="1"/>
  <c r="GX54" i="1" s="1"/>
  <c r="AC52" i="1"/>
  <c r="AD52" i="1"/>
  <c r="AB52" i="1" s="1"/>
  <c r="AE52" i="1"/>
  <c r="AF52" i="1"/>
  <c r="CT52" i="1" s="1"/>
  <c r="S52" i="1" s="1"/>
  <c r="AG52" i="1"/>
  <c r="AH52" i="1"/>
  <c r="CV52" i="1" s="1"/>
  <c r="U52" i="1" s="1"/>
  <c r="AI52" i="1"/>
  <c r="AJ52" i="1"/>
  <c r="CX52" i="1" s="1"/>
  <c r="W52" i="1" s="1"/>
  <c r="CQ52" i="1"/>
  <c r="P52" i="1" s="1"/>
  <c r="CS52" i="1"/>
  <c r="R52" i="1" s="1"/>
  <c r="GK52" i="1" s="1"/>
  <c r="CU52" i="1"/>
  <c r="T52" i="1" s="1"/>
  <c r="CW52" i="1"/>
  <c r="V52" i="1" s="1"/>
  <c r="FR52" i="1"/>
  <c r="GL52" i="1"/>
  <c r="GO52" i="1"/>
  <c r="GP52" i="1"/>
  <c r="GV52" i="1"/>
  <c r="GX52" i="1"/>
  <c r="HC52" i="1"/>
  <c r="I53" i="1"/>
  <c r="AC53" i="1"/>
  <c r="AD53" i="1"/>
  <c r="AB53" i="1" s="1"/>
  <c r="AE53" i="1"/>
  <c r="AF53" i="1"/>
  <c r="CT53" i="1" s="1"/>
  <c r="S53" i="1" s="1"/>
  <c r="AG53" i="1"/>
  <c r="AH53" i="1"/>
  <c r="CV53" i="1" s="1"/>
  <c r="U53" i="1" s="1"/>
  <c r="AI53" i="1"/>
  <c r="AJ53" i="1"/>
  <c r="CX53" i="1" s="1"/>
  <c r="W53" i="1" s="1"/>
  <c r="CQ53" i="1"/>
  <c r="P53" i="1" s="1"/>
  <c r="CS53" i="1"/>
  <c r="R53" i="1" s="1"/>
  <c r="CU53" i="1"/>
  <c r="T53" i="1" s="1"/>
  <c r="CW53" i="1"/>
  <c r="V53" i="1" s="1"/>
  <c r="FR53" i="1"/>
  <c r="GL53" i="1"/>
  <c r="GO53" i="1"/>
  <c r="GP53" i="1"/>
  <c r="GV53" i="1"/>
  <c r="HC53" i="1"/>
  <c r="GX53" i="1" s="1"/>
  <c r="AC54" i="1"/>
  <c r="AB54" i="1" s="1"/>
  <c r="AD54" i="1"/>
  <c r="AE54" i="1"/>
  <c r="CS54" i="1" s="1"/>
  <c r="AF54" i="1"/>
  <c r="AG54" i="1"/>
  <c r="CU54" i="1" s="1"/>
  <c r="AH54" i="1"/>
  <c r="AI54" i="1"/>
  <c r="CW54" i="1" s="1"/>
  <c r="AJ54" i="1"/>
  <c r="CR54" i="1"/>
  <c r="CT54" i="1"/>
  <c r="S54" i="1" s="1"/>
  <c r="CV54" i="1"/>
  <c r="CX54" i="1"/>
  <c r="W54" i="1" s="1"/>
  <c r="FR54" i="1"/>
  <c r="GL54" i="1"/>
  <c r="GO54" i="1"/>
  <c r="GP54" i="1"/>
  <c r="GV54" i="1"/>
  <c r="HC54" i="1"/>
  <c r="C55" i="1"/>
  <c r="D55" i="1"/>
  <c r="I55" i="1"/>
  <c r="AC55" i="1"/>
  <c r="AD55" i="1"/>
  <c r="AB55" i="1" s="1"/>
  <c r="AE55" i="1"/>
  <c r="AF55" i="1"/>
  <c r="CT55" i="1" s="1"/>
  <c r="S55" i="1" s="1"/>
  <c r="AG55" i="1"/>
  <c r="AH55" i="1"/>
  <c r="CV55" i="1" s="1"/>
  <c r="U55" i="1" s="1"/>
  <c r="AI55" i="1"/>
  <c r="AJ55" i="1"/>
  <c r="CX55" i="1" s="1"/>
  <c r="W55" i="1" s="1"/>
  <c r="CQ55" i="1"/>
  <c r="P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HC55" i="1"/>
  <c r="I56" i="1"/>
  <c r="AC56" i="1"/>
  <c r="AD56" i="1"/>
  <c r="AB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CU56" i="1"/>
  <c r="T56" i="1" s="1"/>
  <c r="CW56" i="1"/>
  <c r="V56" i="1" s="1"/>
  <c r="FR56" i="1"/>
  <c r="GL56" i="1"/>
  <c r="GO56" i="1"/>
  <c r="GP56" i="1"/>
  <c r="GV56" i="1"/>
  <c r="HC56" i="1"/>
  <c r="GX56" i="1" s="1"/>
  <c r="C57" i="1"/>
  <c r="D57" i="1"/>
  <c r="I57" i="1"/>
  <c r="AC57" i="1"/>
  <c r="AB57" i="1" s="1"/>
  <c r="AD57" i="1"/>
  <c r="AE57" i="1"/>
  <c r="CS57" i="1" s="1"/>
  <c r="R57" i="1" s="1"/>
  <c r="GK57" i="1" s="1"/>
  <c r="AF57" i="1"/>
  <c r="AG57" i="1"/>
  <c r="CU57" i="1" s="1"/>
  <c r="T57" i="1" s="1"/>
  <c r="AH57" i="1"/>
  <c r="AI57" i="1"/>
  <c r="CW57" i="1" s="1"/>
  <c r="V57" i="1" s="1"/>
  <c r="AJ57" i="1"/>
  <c r="CR57" i="1"/>
  <c r="Q57" i="1" s="1"/>
  <c r="CT57" i="1"/>
  <c r="S57" i="1" s="1"/>
  <c r="CV57" i="1"/>
  <c r="U57" i="1" s="1"/>
  <c r="CX57" i="1"/>
  <c r="W57" i="1" s="1"/>
  <c r="FR57" i="1"/>
  <c r="GL57" i="1"/>
  <c r="GO57" i="1"/>
  <c r="GP57" i="1"/>
  <c r="GV57" i="1"/>
  <c r="HC57" i="1"/>
  <c r="GX57" i="1" s="1"/>
  <c r="I58" i="1"/>
  <c r="AC58" i="1"/>
  <c r="AB58" i="1" s="1"/>
  <c r="AD58" i="1"/>
  <c r="AE58" i="1"/>
  <c r="CS58" i="1" s="1"/>
  <c r="R58" i="1" s="1"/>
  <c r="AF58" i="1"/>
  <c r="AG58" i="1"/>
  <c r="CU58" i="1" s="1"/>
  <c r="T58" i="1" s="1"/>
  <c r="AH58" i="1"/>
  <c r="AI58" i="1"/>
  <c r="CW58" i="1" s="1"/>
  <c r="V58" i="1" s="1"/>
  <c r="AJ58" i="1"/>
  <c r="CR58" i="1"/>
  <c r="Q58" i="1" s="1"/>
  <c r="CT58" i="1"/>
  <c r="S58" i="1" s="1"/>
  <c r="CV58" i="1"/>
  <c r="U58" i="1" s="1"/>
  <c r="CX58" i="1"/>
  <c r="W58" i="1" s="1"/>
  <c r="FR58" i="1"/>
  <c r="GL58" i="1"/>
  <c r="GO58" i="1"/>
  <c r="GP58" i="1"/>
  <c r="GV58" i="1"/>
  <c r="GX58" i="1"/>
  <c r="HC58" i="1"/>
  <c r="I59" i="1"/>
  <c r="AC59" i="1"/>
  <c r="AD59" i="1"/>
  <c r="AB59" i="1" s="1"/>
  <c r="AE59" i="1"/>
  <c r="AF59" i="1"/>
  <c r="CT59" i="1" s="1"/>
  <c r="S59" i="1" s="1"/>
  <c r="AG59" i="1"/>
  <c r="AH59" i="1"/>
  <c r="CV59" i="1" s="1"/>
  <c r="U59" i="1" s="1"/>
  <c r="AI59" i="1"/>
  <c r="AJ59" i="1"/>
  <c r="CX59" i="1" s="1"/>
  <c r="W59" i="1" s="1"/>
  <c r="CQ59" i="1"/>
  <c r="P59" i="1" s="1"/>
  <c r="CS59" i="1"/>
  <c r="R59" i="1" s="1"/>
  <c r="CU59" i="1"/>
  <c r="T59" i="1" s="1"/>
  <c r="CW59" i="1"/>
  <c r="V59" i="1" s="1"/>
  <c r="FR59" i="1"/>
  <c r="GL59" i="1"/>
  <c r="GO59" i="1"/>
  <c r="GP59" i="1"/>
  <c r="GV59" i="1"/>
  <c r="HC59" i="1"/>
  <c r="GX59" i="1" s="1"/>
  <c r="C60" i="1"/>
  <c r="D60" i="1"/>
  <c r="I60" i="1"/>
  <c r="AC60" i="1"/>
  <c r="AB60" i="1" s="1"/>
  <c r="AD60" i="1"/>
  <c r="AE60" i="1"/>
  <c r="CS60" i="1" s="1"/>
  <c r="R60" i="1" s="1"/>
  <c r="GK60" i="1" s="1"/>
  <c r="AF60" i="1"/>
  <c r="AG60" i="1"/>
  <c r="CU60" i="1" s="1"/>
  <c r="T60" i="1" s="1"/>
  <c r="AH60" i="1"/>
  <c r="AI60" i="1"/>
  <c r="CW60" i="1" s="1"/>
  <c r="V60" i="1" s="1"/>
  <c r="AJ60" i="1"/>
  <c r="CR60" i="1"/>
  <c r="Q60" i="1" s="1"/>
  <c r="CT60" i="1"/>
  <c r="S60" i="1" s="1"/>
  <c r="CV60" i="1"/>
  <c r="U60" i="1" s="1"/>
  <c r="CX60" i="1"/>
  <c r="W60" i="1" s="1"/>
  <c r="FR60" i="1"/>
  <c r="GL60" i="1"/>
  <c r="GO60" i="1"/>
  <c r="GP60" i="1"/>
  <c r="GV60" i="1"/>
  <c r="HC60" i="1"/>
  <c r="GX60" i="1" s="1"/>
  <c r="I61" i="1"/>
  <c r="AC61" i="1"/>
  <c r="AB61" i="1" s="1"/>
  <c r="AD61" i="1"/>
  <c r="AE61" i="1"/>
  <c r="CS61" i="1" s="1"/>
  <c r="R61" i="1" s="1"/>
  <c r="AF61" i="1"/>
  <c r="AG61" i="1"/>
  <c r="CU61" i="1" s="1"/>
  <c r="T61" i="1" s="1"/>
  <c r="AH61" i="1"/>
  <c r="AI61" i="1"/>
  <c r="CW61" i="1" s="1"/>
  <c r="V61" i="1" s="1"/>
  <c r="AJ61" i="1"/>
  <c r="CR61" i="1"/>
  <c r="Q61" i="1" s="1"/>
  <c r="CT61" i="1"/>
  <c r="S61" i="1" s="1"/>
  <c r="CV61" i="1"/>
  <c r="U61" i="1" s="1"/>
  <c r="CX61" i="1"/>
  <c r="W61" i="1" s="1"/>
  <c r="FR61" i="1"/>
  <c r="GL61" i="1"/>
  <c r="GO61" i="1"/>
  <c r="GP61" i="1"/>
  <c r="GV61" i="1"/>
  <c r="GX61" i="1"/>
  <c r="HC61" i="1"/>
  <c r="I62" i="1"/>
  <c r="AC62" i="1"/>
  <c r="AD62" i="1"/>
  <c r="AB62" i="1" s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CU62" i="1"/>
  <c r="T62" i="1" s="1"/>
  <c r="CW62" i="1"/>
  <c r="V62" i="1" s="1"/>
  <c r="FR62" i="1"/>
  <c r="GL62" i="1"/>
  <c r="GO62" i="1"/>
  <c r="GP62" i="1"/>
  <c r="GV62" i="1"/>
  <c r="HC62" i="1"/>
  <c r="GX62" i="1" s="1"/>
  <c r="C63" i="1"/>
  <c r="D63" i="1"/>
  <c r="I63" i="1"/>
  <c r="AC63" i="1"/>
  <c r="AB63" i="1" s="1"/>
  <c r="AD63" i="1"/>
  <c r="AE63" i="1"/>
  <c r="CS63" i="1" s="1"/>
  <c r="R63" i="1" s="1"/>
  <c r="GK63" i="1" s="1"/>
  <c r="AF63" i="1"/>
  <c r="AG63" i="1"/>
  <c r="CU63" i="1" s="1"/>
  <c r="T63" i="1" s="1"/>
  <c r="AH63" i="1"/>
  <c r="AI63" i="1"/>
  <c r="CW63" i="1" s="1"/>
  <c r="V63" i="1" s="1"/>
  <c r="AJ63" i="1"/>
  <c r="CR63" i="1"/>
  <c r="Q63" i="1" s="1"/>
  <c r="CT63" i="1"/>
  <c r="S63" i="1" s="1"/>
  <c r="CV63" i="1"/>
  <c r="U63" i="1" s="1"/>
  <c r="CX63" i="1"/>
  <c r="W63" i="1" s="1"/>
  <c r="FR63" i="1"/>
  <c r="GL63" i="1"/>
  <c r="GO63" i="1"/>
  <c r="GP63" i="1"/>
  <c r="GV63" i="1"/>
  <c r="HC63" i="1"/>
  <c r="GX63" i="1" s="1"/>
  <c r="I64" i="1"/>
  <c r="AC64" i="1"/>
  <c r="AB64" i="1" s="1"/>
  <c r="AD64" i="1"/>
  <c r="AE64" i="1"/>
  <c r="CS64" i="1" s="1"/>
  <c r="R64" i="1" s="1"/>
  <c r="AF64" i="1"/>
  <c r="AG64" i="1"/>
  <c r="CU64" i="1" s="1"/>
  <c r="T64" i="1" s="1"/>
  <c r="AH64" i="1"/>
  <c r="AI64" i="1"/>
  <c r="CW64" i="1" s="1"/>
  <c r="V64" i="1" s="1"/>
  <c r="AJ64" i="1"/>
  <c r="CR64" i="1"/>
  <c r="Q64" i="1" s="1"/>
  <c r="CT64" i="1"/>
  <c r="S64" i="1" s="1"/>
  <c r="CV64" i="1"/>
  <c r="U64" i="1" s="1"/>
  <c r="CX64" i="1"/>
  <c r="W64" i="1" s="1"/>
  <c r="FR64" i="1"/>
  <c r="GL64" i="1"/>
  <c r="GO64" i="1"/>
  <c r="GP64" i="1"/>
  <c r="GV64" i="1"/>
  <c r="GX64" i="1"/>
  <c r="HC64" i="1"/>
  <c r="C65" i="1"/>
  <c r="D65" i="1"/>
  <c r="I65" i="1"/>
  <c r="I67" i="1" s="1"/>
  <c r="AC65" i="1"/>
  <c r="AD65" i="1"/>
  <c r="AB65" i="1" s="1"/>
  <c r="AE65" i="1"/>
  <c r="AF65" i="1"/>
  <c r="CT65" i="1" s="1"/>
  <c r="S65" i="1" s="1"/>
  <c r="AG65" i="1"/>
  <c r="AH65" i="1"/>
  <c r="CV65" i="1" s="1"/>
  <c r="U65" i="1" s="1"/>
  <c r="AI65" i="1"/>
  <c r="AJ65" i="1"/>
  <c r="CX65" i="1" s="1"/>
  <c r="W65" i="1" s="1"/>
  <c r="CQ65" i="1"/>
  <c r="P65" i="1" s="1"/>
  <c r="CS65" i="1"/>
  <c r="R65" i="1" s="1"/>
  <c r="GK65" i="1" s="1"/>
  <c r="CU65" i="1"/>
  <c r="T65" i="1" s="1"/>
  <c r="CW65" i="1"/>
  <c r="V65" i="1" s="1"/>
  <c r="FR65" i="1"/>
  <c r="GL65" i="1"/>
  <c r="GO65" i="1"/>
  <c r="GP65" i="1"/>
  <c r="GV65" i="1"/>
  <c r="GX65" i="1"/>
  <c r="HC65" i="1"/>
  <c r="I66" i="1"/>
  <c r="AC66" i="1"/>
  <c r="AD66" i="1"/>
  <c r="AE66" i="1"/>
  <c r="AF66" i="1"/>
  <c r="CT66" i="1" s="1"/>
  <c r="S66" i="1" s="1"/>
  <c r="CZ66" i="1" s="1"/>
  <c r="Y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CU66" i="1"/>
  <c r="T66" i="1" s="1"/>
  <c r="CW66" i="1"/>
  <c r="V66" i="1" s="1"/>
  <c r="CY66" i="1"/>
  <c r="X66" i="1" s="1"/>
  <c r="FR66" i="1"/>
  <c r="GL66" i="1"/>
  <c r="GO66" i="1"/>
  <c r="GP66" i="1"/>
  <c r="GV66" i="1"/>
  <c r="HC66" i="1" s="1"/>
  <c r="GX66" i="1" s="1"/>
  <c r="AC67" i="1"/>
  <c r="AD67" i="1"/>
  <c r="AE67" i="1"/>
  <c r="CS67" i="1" s="1"/>
  <c r="R67" i="1" s="1"/>
  <c r="AF67" i="1"/>
  <c r="AG67" i="1"/>
  <c r="CU67" i="1" s="1"/>
  <c r="T67" i="1" s="1"/>
  <c r="AH67" i="1"/>
  <c r="AI67" i="1"/>
  <c r="CW67" i="1" s="1"/>
  <c r="V67" i="1" s="1"/>
  <c r="AJ67" i="1"/>
  <c r="CR67" i="1"/>
  <c r="Q67" i="1" s="1"/>
  <c r="CT67" i="1"/>
  <c r="S67" i="1" s="1"/>
  <c r="CV67" i="1"/>
  <c r="U67" i="1" s="1"/>
  <c r="CX67" i="1"/>
  <c r="W67" i="1" s="1"/>
  <c r="FR67" i="1"/>
  <c r="GL67" i="1"/>
  <c r="GO67" i="1"/>
  <c r="GP67" i="1"/>
  <c r="GV67" i="1"/>
  <c r="GX67" i="1"/>
  <c r="HC67" i="1"/>
  <c r="I68" i="1"/>
  <c r="AC68" i="1"/>
  <c r="AD68" i="1"/>
  <c r="CR68" i="1" s="1"/>
  <c r="Q68" i="1" s="1"/>
  <c r="AE68" i="1"/>
  <c r="AF68" i="1"/>
  <c r="CT68" i="1" s="1"/>
  <c r="S68" i="1" s="1"/>
  <c r="CZ68" i="1" s="1"/>
  <c r="Y68" i="1" s="1"/>
  <c r="AG68" i="1"/>
  <c r="AH68" i="1"/>
  <c r="CV68" i="1" s="1"/>
  <c r="U68" i="1" s="1"/>
  <c r="AI68" i="1"/>
  <c r="AJ68" i="1"/>
  <c r="CX68" i="1" s="1"/>
  <c r="W68" i="1" s="1"/>
  <c r="CQ68" i="1"/>
  <c r="P68" i="1" s="1"/>
  <c r="CP68" i="1" s="1"/>
  <c r="O68" i="1" s="1"/>
  <c r="CS68" i="1"/>
  <c r="R68" i="1" s="1"/>
  <c r="CU68" i="1"/>
  <c r="T68" i="1" s="1"/>
  <c r="CW68" i="1"/>
  <c r="V68" i="1" s="1"/>
  <c r="FR68" i="1"/>
  <c r="GL68" i="1"/>
  <c r="GO68" i="1"/>
  <c r="GP68" i="1"/>
  <c r="GV68" i="1"/>
  <c r="HC68" i="1"/>
  <c r="GX68" i="1" s="1"/>
  <c r="C69" i="1"/>
  <c r="D69" i="1"/>
  <c r="I69" i="1"/>
  <c r="AC69" i="1"/>
  <c r="AD69" i="1"/>
  <c r="AE69" i="1"/>
  <c r="CS69" i="1" s="1"/>
  <c r="R69" i="1" s="1"/>
  <c r="GK69" i="1" s="1"/>
  <c r="AF69" i="1"/>
  <c r="AG69" i="1"/>
  <c r="CU69" i="1" s="1"/>
  <c r="T69" i="1" s="1"/>
  <c r="AH69" i="1"/>
  <c r="AI69" i="1"/>
  <c r="CW69" i="1" s="1"/>
  <c r="V69" i="1" s="1"/>
  <c r="AJ69" i="1"/>
  <c r="CR69" i="1"/>
  <c r="Q69" i="1" s="1"/>
  <c r="CT69" i="1"/>
  <c r="S69" i="1" s="1"/>
  <c r="CV69" i="1"/>
  <c r="U69" i="1" s="1"/>
  <c r="CX69" i="1"/>
  <c r="W69" i="1" s="1"/>
  <c r="FR69" i="1"/>
  <c r="GL69" i="1"/>
  <c r="GO69" i="1"/>
  <c r="GP69" i="1"/>
  <c r="GV69" i="1"/>
  <c r="GX69" i="1"/>
  <c r="HC69" i="1"/>
  <c r="I70" i="1"/>
  <c r="AC70" i="1"/>
  <c r="AD70" i="1"/>
  <c r="AB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CU70" i="1"/>
  <c r="T70" i="1" s="1"/>
  <c r="CW70" i="1"/>
  <c r="V70" i="1" s="1"/>
  <c r="FR70" i="1"/>
  <c r="GL70" i="1"/>
  <c r="GO70" i="1"/>
  <c r="GP70" i="1"/>
  <c r="GV70" i="1"/>
  <c r="HC70" i="1"/>
  <c r="GX70" i="1" s="1"/>
  <c r="C71" i="1"/>
  <c r="D71" i="1"/>
  <c r="I71" i="1"/>
  <c r="AC71" i="1"/>
  <c r="AB71" i="1" s="1"/>
  <c r="AD71" i="1"/>
  <c r="AE71" i="1"/>
  <c r="CS71" i="1" s="1"/>
  <c r="R71" i="1" s="1"/>
  <c r="GK71" i="1" s="1"/>
  <c r="AF71" i="1"/>
  <c r="AG71" i="1"/>
  <c r="CU71" i="1" s="1"/>
  <c r="T71" i="1" s="1"/>
  <c r="AH71" i="1"/>
  <c r="AI71" i="1"/>
  <c r="CW71" i="1" s="1"/>
  <c r="V71" i="1" s="1"/>
  <c r="AJ71" i="1"/>
  <c r="CR71" i="1"/>
  <c r="Q71" i="1" s="1"/>
  <c r="CT71" i="1"/>
  <c r="S71" i="1" s="1"/>
  <c r="CV71" i="1"/>
  <c r="U71" i="1" s="1"/>
  <c r="CX71" i="1"/>
  <c r="W71" i="1" s="1"/>
  <c r="FR71" i="1"/>
  <c r="GL71" i="1"/>
  <c r="GO71" i="1"/>
  <c r="GP71" i="1"/>
  <c r="GV71" i="1"/>
  <c r="HC71" i="1"/>
  <c r="GX71" i="1" s="1"/>
  <c r="I72" i="1"/>
  <c r="AC72" i="1"/>
  <c r="AB72" i="1" s="1"/>
  <c r="AD72" i="1"/>
  <c r="AE72" i="1"/>
  <c r="CS72" i="1" s="1"/>
  <c r="R72" i="1" s="1"/>
  <c r="AF72" i="1"/>
  <c r="AG72" i="1"/>
  <c r="CU72" i="1" s="1"/>
  <c r="T72" i="1" s="1"/>
  <c r="AH72" i="1"/>
  <c r="AI72" i="1"/>
  <c r="CW72" i="1" s="1"/>
  <c r="V72" i="1" s="1"/>
  <c r="AJ72" i="1"/>
  <c r="CR72" i="1"/>
  <c r="Q72" i="1" s="1"/>
  <c r="CT72" i="1"/>
  <c r="S72" i="1" s="1"/>
  <c r="CV72" i="1"/>
  <c r="U72" i="1" s="1"/>
  <c r="CX72" i="1"/>
  <c r="W72" i="1" s="1"/>
  <c r="FR72" i="1"/>
  <c r="GL72" i="1"/>
  <c r="BZ95" i="1" s="1"/>
  <c r="GO72" i="1"/>
  <c r="GP72" i="1"/>
  <c r="CD95" i="1" s="1"/>
  <c r="GV72" i="1"/>
  <c r="GX72" i="1"/>
  <c r="HC72" i="1"/>
  <c r="I73" i="1"/>
  <c r="AC73" i="1"/>
  <c r="AD73" i="1"/>
  <c r="AB73" i="1" s="1"/>
  <c r="AE73" i="1"/>
  <c r="AF73" i="1"/>
  <c r="CT73" i="1" s="1"/>
  <c r="S73" i="1" s="1"/>
  <c r="AG73" i="1"/>
  <c r="AH73" i="1"/>
  <c r="CV73" i="1" s="1"/>
  <c r="U73" i="1" s="1"/>
  <c r="AI73" i="1"/>
  <c r="AJ73" i="1"/>
  <c r="CX73" i="1" s="1"/>
  <c r="W73" i="1" s="1"/>
  <c r="CQ73" i="1"/>
  <c r="P73" i="1" s="1"/>
  <c r="CS73" i="1"/>
  <c r="R73" i="1" s="1"/>
  <c r="CU73" i="1"/>
  <c r="T73" i="1" s="1"/>
  <c r="CW73" i="1"/>
  <c r="V73" i="1" s="1"/>
  <c r="FR73" i="1"/>
  <c r="GL73" i="1"/>
  <c r="GO73" i="1"/>
  <c r="GP73" i="1"/>
  <c r="GV73" i="1"/>
  <c r="HC73" i="1"/>
  <c r="GX73" i="1" s="1"/>
  <c r="I74" i="1"/>
  <c r="AC74" i="1"/>
  <c r="AB74" i="1" s="1"/>
  <c r="AD74" i="1"/>
  <c r="AE74" i="1"/>
  <c r="CS74" i="1" s="1"/>
  <c r="R74" i="1" s="1"/>
  <c r="AF74" i="1"/>
  <c r="AG74" i="1"/>
  <c r="CU74" i="1" s="1"/>
  <c r="T74" i="1" s="1"/>
  <c r="AH74" i="1"/>
  <c r="AI74" i="1"/>
  <c r="CW74" i="1" s="1"/>
  <c r="V74" i="1" s="1"/>
  <c r="AJ74" i="1"/>
  <c r="CR74" i="1"/>
  <c r="Q74" i="1" s="1"/>
  <c r="CT74" i="1"/>
  <c r="S74" i="1" s="1"/>
  <c r="CV74" i="1"/>
  <c r="U74" i="1" s="1"/>
  <c r="CX74" i="1"/>
  <c r="W74" i="1" s="1"/>
  <c r="FR74" i="1"/>
  <c r="GL74" i="1"/>
  <c r="GO74" i="1"/>
  <c r="GP74" i="1"/>
  <c r="GV74" i="1"/>
  <c r="GX74" i="1"/>
  <c r="HC74" i="1"/>
  <c r="C75" i="1"/>
  <c r="D75" i="1"/>
  <c r="I75" i="1"/>
  <c r="I77" i="1" s="1"/>
  <c r="GX77" i="1" s="1"/>
  <c r="V75" i="1"/>
  <c r="AC75" i="1"/>
  <c r="AD75" i="1"/>
  <c r="AB75" i="1" s="1"/>
  <c r="AE75" i="1"/>
  <c r="AF75" i="1"/>
  <c r="CT75" i="1" s="1"/>
  <c r="S75" i="1" s="1"/>
  <c r="AG75" i="1"/>
  <c r="AH75" i="1"/>
  <c r="CV75" i="1" s="1"/>
  <c r="U75" i="1" s="1"/>
  <c r="AI75" i="1"/>
  <c r="AJ75" i="1"/>
  <c r="CX75" i="1" s="1"/>
  <c r="W75" i="1" s="1"/>
  <c r="CQ75" i="1"/>
  <c r="P75" i="1" s="1"/>
  <c r="CS75" i="1"/>
  <c r="R75" i="1" s="1"/>
  <c r="GK75" i="1" s="1"/>
  <c r="CU75" i="1"/>
  <c r="T75" i="1" s="1"/>
  <c r="CW75" i="1"/>
  <c r="FR75" i="1"/>
  <c r="GL75" i="1"/>
  <c r="GO75" i="1"/>
  <c r="GP75" i="1"/>
  <c r="GV75" i="1"/>
  <c r="GX75" i="1"/>
  <c r="HC75" i="1"/>
  <c r="I76" i="1"/>
  <c r="AC76" i="1"/>
  <c r="AD76" i="1"/>
  <c r="AB76" i="1" s="1"/>
  <c r="AE76" i="1"/>
  <c r="AF76" i="1"/>
  <c r="CT76" i="1" s="1"/>
  <c r="S76" i="1" s="1"/>
  <c r="AG76" i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CU76" i="1"/>
  <c r="T76" i="1" s="1"/>
  <c r="CW76" i="1"/>
  <c r="V76" i="1" s="1"/>
  <c r="FR76" i="1"/>
  <c r="GL76" i="1"/>
  <c r="GO76" i="1"/>
  <c r="GP76" i="1"/>
  <c r="GV76" i="1"/>
  <c r="HC76" i="1" s="1"/>
  <c r="GX76" i="1" s="1"/>
  <c r="AC77" i="1"/>
  <c r="AB77" i="1" s="1"/>
  <c r="AD77" i="1"/>
  <c r="AE77" i="1"/>
  <c r="CS77" i="1" s="1"/>
  <c r="R77" i="1" s="1"/>
  <c r="AF77" i="1"/>
  <c r="AG77" i="1"/>
  <c r="CU77" i="1" s="1"/>
  <c r="T77" i="1" s="1"/>
  <c r="AH77" i="1"/>
  <c r="AI77" i="1"/>
  <c r="CW77" i="1" s="1"/>
  <c r="V77" i="1" s="1"/>
  <c r="AJ77" i="1"/>
  <c r="CR77" i="1"/>
  <c r="Q77" i="1" s="1"/>
  <c r="CT77" i="1"/>
  <c r="S77" i="1" s="1"/>
  <c r="CV77" i="1"/>
  <c r="U77" i="1" s="1"/>
  <c r="CX77" i="1"/>
  <c r="W77" i="1" s="1"/>
  <c r="FR77" i="1"/>
  <c r="GL77" i="1"/>
  <c r="GO77" i="1"/>
  <c r="GP77" i="1"/>
  <c r="GV77" i="1"/>
  <c r="HC77" i="1"/>
  <c r="I78" i="1"/>
  <c r="AC78" i="1"/>
  <c r="AD78" i="1"/>
  <c r="CR78" i="1" s="1"/>
  <c r="Q78" i="1" s="1"/>
  <c r="AE78" i="1"/>
  <c r="AF78" i="1"/>
  <c r="CT78" i="1" s="1"/>
  <c r="S78" i="1" s="1"/>
  <c r="AG78" i="1"/>
  <c r="AH78" i="1"/>
  <c r="CV78" i="1" s="1"/>
  <c r="U78" i="1" s="1"/>
  <c r="AI78" i="1"/>
  <c r="AJ78" i="1"/>
  <c r="CX78" i="1" s="1"/>
  <c r="W78" i="1" s="1"/>
  <c r="CQ78" i="1"/>
  <c r="P78" i="1" s="1"/>
  <c r="CS78" i="1"/>
  <c r="R78" i="1" s="1"/>
  <c r="CU78" i="1"/>
  <c r="T78" i="1" s="1"/>
  <c r="CW78" i="1"/>
  <c r="V78" i="1" s="1"/>
  <c r="FR78" i="1"/>
  <c r="GL78" i="1"/>
  <c r="GO78" i="1"/>
  <c r="GP78" i="1"/>
  <c r="GV78" i="1"/>
  <c r="HC78" i="1" s="1"/>
  <c r="GX78" i="1" s="1"/>
  <c r="AC79" i="1"/>
  <c r="AB79" i="1" s="1"/>
  <c r="AD79" i="1"/>
  <c r="AE79" i="1"/>
  <c r="CS79" i="1" s="1"/>
  <c r="AF79" i="1"/>
  <c r="AG79" i="1"/>
  <c r="CU79" i="1" s="1"/>
  <c r="AH79" i="1"/>
  <c r="AI79" i="1"/>
  <c r="CW79" i="1" s="1"/>
  <c r="AJ79" i="1"/>
  <c r="CR79" i="1"/>
  <c r="CT79" i="1"/>
  <c r="CV79" i="1"/>
  <c r="CX79" i="1"/>
  <c r="FR79" i="1"/>
  <c r="GL79" i="1"/>
  <c r="GO79" i="1"/>
  <c r="GP79" i="1"/>
  <c r="GV79" i="1"/>
  <c r="HC79" i="1"/>
  <c r="I80" i="1"/>
  <c r="AC80" i="1"/>
  <c r="AD80" i="1"/>
  <c r="CR80" i="1" s="1"/>
  <c r="Q80" i="1" s="1"/>
  <c r="AE80" i="1"/>
  <c r="AF80" i="1"/>
  <c r="CT80" i="1" s="1"/>
  <c r="S80" i="1" s="1"/>
  <c r="AG80" i="1"/>
  <c r="AH80" i="1"/>
  <c r="CV80" i="1" s="1"/>
  <c r="U80" i="1" s="1"/>
  <c r="AI80" i="1"/>
  <c r="AJ80" i="1"/>
  <c r="CX80" i="1" s="1"/>
  <c r="W80" i="1" s="1"/>
  <c r="CQ80" i="1"/>
  <c r="P80" i="1" s="1"/>
  <c r="CS80" i="1"/>
  <c r="R80" i="1" s="1"/>
  <c r="CU80" i="1"/>
  <c r="T80" i="1" s="1"/>
  <c r="CW80" i="1"/>
  <c r="V80" i="1" s="1"/>
  <c r="FR80" i="1"/>
  <c r="GL80" i="1"/>
  <c r="GO80" i="1"/>
  <c r="GP80" i="1"/>
  <c r="GV80" i="1"/>
  <c r="HC80" i="1" s="1"/>
  <c r="GX80" i="1" s="1"/>
  <c r="C81" i="1"/>
  <c r="D81" i="1"/>
  <c r="I81" i="1"/>
  <c r="AC81" i="1"/>
  <c r="AB81" i="1" s="1"/>
  <c r="AD81" i="1"/>
  <c r="AE81" i="1"/>
  <c r="CS81" i="1" s="1"/>
  <c r="R81" i="1" s="1"/>
  <c r="GK81" i="1" s="1"/>
  <c r="AF81" i="1"/>
  <c r="AG81" i="1"/>
  <c r="CU81" i="1" s="1"/>
  <c r="T81" i="1" s="1"/>
  <c r="AH81" i="1"/>
  <c r="AI81" i="1"/>
  <c r="CW81" i="1" s="1"/>
  <c r="V81" i="1" s="1"/>
  <c r="AJ81" i="1"/>
  <c r="CR81" i="1"/>
  <c r="Q81" i="1" s="1"/>
  <c r="CT81" i="1"/>
  <c r="S81" i="1" s="1"/>
  <c r="CV81" i="1"/>
  <c r="U81" i="1" s="1"/>
  <c r="CX81" i="1"/>
  <c r="W81" i="1" s="1"/>
  <c r="FR81" i="1"/>
  <c r="GL81" i="1"/>
  <c r="GO81" i="1"/>
  <c r="GP81" i="1"/>
  <c r="GV81" i="1"/>
  <c r="HC81" i="1" s="1"/>
  <c r="GX81" i="1" s="1"/>
  <c r="I82" i="1"/>
  <c r="AC82" i="1"/>
  <c r="AB82" i="1" s="1"/>
  <c r="AD82" i="1"/>
  <c r="AE82" i="1"/>
  <c r="CS82" i="1" s="1"/>
  <c r="R82" i="1" s="1"/>
  <c r="AF82" i="1"/>
  <c r="AG82" i="1"/>
  <c r="CU82" i="1" s="1"/>
  <c r="T82" i="1" s="1"/>
  <c r="AH82" i="1"/>
  <c r="AI82" i="1"/>
  <c r="CW82" i="1" s="1"/>
  <c r="V82" i="1" s="1"/>
  <c r="AJ82" i="1"/>
  <c r="CR82" i="1"/>
  <c r="Q82" i="1" s="1"/>
  <c r="CT82" i="1"/>
  <c r="S82" i="1" s="1"/>
  <c r="CV82" i="1"/>
  <c r="U82" i="1" s="1"/>
  <c r="CX82" i="1"/>
  <c r="W82" i="1" s="1"/>
  <c r="FR82" i="1"/>
  <c r="GL82" i="1"/>
  <c r="GO82" i="1"/>
  <c r="GP82" i="1"/>
  <c r="GV82" i="1"/>
  <c r="GX82" i="1"/>
  <c r="HC82" i="1"/>
  <c r="C83" i="1"/>
  <c r="D83" i="1"/>
  <c r="I83" i="1"/>
  <c r="AC83" i="1"/>
  <c r="AD83" i="1"/>
  <c r="AB83" i="1" s="1"/>
  <c r="AE83" i="1"/>
  <c r="AF83" i="1"/>
  <c r="CT83" i="1" s="1"/>
  <c r="S83" i="1" s="1"/>
  <c r="AG83" i="1"/>
  <c r="AH83" i="1"/>
  <c r="CV83" i="1" s="1"/>
  <c r="U83" i="1" s="1"/>
  <c r="AI83" i="1"/>
  <c r="AJ83" i="1"/>
  <c r="CX83" i="1" s="1"/>
  <c r="W83" i="1" s="1"/>
  <c r="CQ83" i="1"/>
  <c r="P83" i="1" s="1"/>
  <c r="CS83" i="1"/>
  <c r="R83" i="1" s="1"/>
  <c r="GK83" i="1" s="1"/>
  <c r="CU83" i="1"/>
  <c r="T83" i="1" s="1"/>
  <c r="CW83" i="1"/>
  <c r="V83" i="1" s="1"/>
  <c r="FR83" i="1"/>
  <c r="GL83" i="1"/>
  <c r="GO83" i="1"/>
  <c r="GP83" i="1"/>
  <c r="GV83" i="1"/>
  <c r="GX83" i="1"/>
  <c r="HC83" i="1"/>
  <c r="I84" i="1"/>
  <c r="AC84" i="1"/>
  <c r="AD84" i="1"/>
  <c r="AB84" i="1" s="1"/>
  <c r="AE84" i="1"/>
  <c r="AF84" i="1"/>
  <c r="CT84" i="1" s="1"/>
  <c r="S84" i="1" s="1"/>
  <c r="AG84" i="1"/>
  <c r="AH84" i="1"/>
  <c r="CV84" i="1" s="1"/>
  <c r="U84" i="1" s="1"/>
  <c r="AI84" i="1"/>
  <c r="AJ84" i="1"/>
  <c r="CX84" i="1" s="1"/>
  <c r="W84" i="1" s="1"/>
  <c r="CQ84" i="1"/>
  <c r="P84" i="1" s="1"/>
  <c r="CS84" i="1"/>
  <c r="R84" i="1" s="1"/>
  <c r="CU84" i="1"/>
  <c r="T84" i="1" s="1"/>
  <c r="CW84" i="1"/>
  <c r="V84" i="1" s="1"/>
  <c r="FR84" i="1"/>
  <c r="GL84" i="1"/>
  <c r="GO84" i="1"/>
  <c r="GP84" i="1"/>
  <c r="GV84" i="1"/>
  <c r="HC84" i="1" s="1"/>
  <c r="GX84" i="1" s="1"/>
  <c r="AC85" i="1"/>
  <c r="AB85" i="1" s="1"/>
  <c r="AD85" i="1"/>
  <c r="AE85" i="1"/>
  <c r="CS85" i="1" s="1"/>
  <c r="AF85" i="1"/>
  <c r="AG85" i="1"/>
  <c r="CU85" i="1" s="1"/>
  <c r="AH85" i="1"/>
  <c r="AI85" i="1"/>
  <c r="CW85" i="1" s="1"/>
  <c r="AJ85" i="1"/>
  <c r="CR85" i="1"/>
  <c r="CT85" i="1"/>
  <c r="CV85" i="1"/>
  <c r="CX85" i="1"/>
  <c r="FR85" i="1"/>
  <c r="GL85" i="1"/>
  <c r="GO85" i="1"/>
  <c r="GP85" i="1"/>
  <c r="GV85" i="1"/>
  <c r="HC85" i="1"/>
  <c r="C86" i="1"/>
  <c r="D86" i="1"/>
  <c r="I86" i="1"/>
  <c r="AC86" i="1"/>
  <c r="AD86" i="1"/>
  <c r="CR86" i="1" s="1"/>
  <c r="Q86" i="1" s="1"/>
  <c r="AE86" i="1"/>
  <c r="AF86" i="1"/>
  <c r="CT86" i="1" s="1"/>
  <c r="S86" i="1" s="1"/>
  <c r="AG86" i="1"/>
  <c r="AH86" i="1"/>
  <c r="CV86" i="1" s="1"/>
  <c r="U86" i="1" s="1"/>
  <c r="AI86" i="1"/>
  <c r="AJ86" i="1"/>
  <c r="CX86" i="1" s="1"/>
  <c r="W86" i="1" s="1"/>
  <c r="CQ86" i="1"/>
  <c r="P86" i="1" s="1"/>
  <c r="CS86" i="1"/>
  <c r="R86" i="1" s="1"/>
  <c r="GK86" i="1" s="1"/>
  <c r="CU86" i="1"/>
  <c r="T86" i="1" s="1"/>
  <c r="CW86" i="1"/>
  <c r="V86" i="1" s="1"/>
  <c r="FR86" i="1"/>
  <c r="GL86" i="1"/>
  <c r="GO86" i="1"/>
  <c r="GP86" i="1"/>
  <c r="GV86" i="1"/>
  <c r="GX86" i="1"/>
  <c r="HC86" i="1"/>
  <c r="I87" i="1"/>
  <c r="AC87" i="1"/>
  <c r="AD87" i="1"/>
  <c r="AB87" i="1" s="1"/>
  <c r="AE87" i="1"/>
  <c r="AF87" i="1"/>
  <c r="CT87" i="1" s="1"/>
  <c r="S87" i="1" s="1"/>
  <c r="AG87" i="1"/>
  <c r="AH87" i="1"/>
  <c r="CV87" i="1" s="1"/>
  <c r="U87" i="1" s="1"/>
  <c r="AI87" i="1"/>
  <c r="AJ87" i="1"/>
  <c r="CX87" i="1" s="1"/>
  <c r="W87" i="1" s="1"/>
  <c r="CQ87" i="1"/>
  <c r="P87" i="1" s="1"/>
  <c r="CS87" i="1"/>
  <c r="R87" i="1" s="1"/>
  <c r="CU87" i="1"/>
  <c r="T87" i="1" s="1"/>
  <c r="CW87" i="1"/>
  <c r="V87" i="1" s="1"/>
  <c r="FR87" i="1"/>
  <c r="GL87" i="1"/>
  <c r="GO87" i="1"/>
  <c r="GP87" i="1"/>
  <c r="GV87" i="1"/>
  <c r="HC87" i="1" s="1"/>
  <c r="GX87" i="1" s="1"/>
  <c r="C88" i="1"/>
  <c r="D88" i="1"/>
  <c r="AC88" i="1"/>
  <c r="AD88" i="1"/>
  <c r="AB88" i="1" s="1"/>
  <c r="AE88" i="1"/>
  <c r="AF88" i="1"/>
  <c r="CT88" i="1" s="1"/>
  <c r="S88" i="1" s="1"/>
  <c r="AG88" i="1"/>
  <c r="AH88" i="1"/>
  <c r="CV88" i="1" s="1"/>
  <c r="U88" i="1" s="1"/>
  <c r="AI88" i="1"/>
  <c r="AJ88" i="1"/>
  <c r="CX88" i="1" s="1"/>
  <c r="W88" i="1" s="1"/>
  <c r="CQ88" i="1"/>
  <c r="P88" i="1" s="1"/>
  <c r="CS88" i="1"/>
  <c r="R88" i="1" s="1"/>
  <c r="GK88" i="1" s="1"/>
  <c r="CU88" i="1"/>
  <c r="T88" i="1" s="1"/>
  <c r="CW88" i="1"/>
  <c r="V88" i="1" s="1"/>
  <c r="FR88" i="1"/>
  <c r="GL88" i="1"/>
  <c r="GO88" i="1"/>
  <c r="GP88" i="1"/>
  <c r="GV88" i="1"/>
  <c r="GX88" i="1"/>
  <c r="HC88" i="1"/>
  <c r="I89" i="1"/>
  <c r="AC89" i="1"/>
  <c r="AD89" i="1"/>
  <c r="CR89" i="1" s="1"/>
  <c r="Q89" i="1" s="1"/>
  <c r="AE89" i="1"/>
  <c r="AF89" i="1"/>
  <c r="CT89" i="1" s="1"/>
  <c r="S89" i="1" s="1"/>
  <c r="AG89" i="1"/>
  <c r="AH89" i="1"/>
  <c r="CV89" i="1" s="1"/>
  <c r="U89" i="1" s="1"/>
  <c r="AI89" i="1"/>
  <c r="AJ89" i="1"/>
  <c r="CX89" i="1" s="1"/>
  <c r="W89" i="1" s="1"/>
  <c r="CQ89" i="1"/>
  <c r="P89" i="1" s="1"/>
  <c r="CP89" i="1" s="1"/>
  <c r="O89" i="1" s="1"/>
  <c r="CS89" i="1"/>
  <c r="R89" i="1" s="1"/>
  <c r="CU89" i="1"/>
  <c r="T89" i="1" s="1"/>
  <c r="CW89" i="1"/>
  <c r="V89" i="1" s="1"/>
  <c r="FR89" i="1"/>
  <c r="GL89" i="1"/>
  <c r="GO89" i="1"/>
  <c r="GP89" i="1"/>
  <c r="GV89" i="1"/>
  <c r="HC89" i="1" s="1"/>
  <c r="GX89" i="1" s="1"/>
  <c r="C90" i="1"/>
  <c r="D90" i="1"/>
  <c r="I90" i="1"/>
  <c r="AC90" i="1"/>
  <c r="AB90" i="1" s="1"/>
  <c r="AD90" i="1"/>
  <c r="AE90" i="1"/>
  <c r="CS90" i="1" s="1"/>
  <c r="R90" i="1" s="1"/>
  <c r="GK90" i="1" s="1"/>
  <c r="AF90" i="1"/>
  <c r="AG90" i="1"/>
  <c r="CU90" i="1" s="1"/>
  <c r="T90" i="1" s="1"/>
  <c r="AH90" i="1"/>
  <c r="AI90" i="1"/>
  <c r="CW90" i="1" s="1"/>
  <c r="V90" i="1" s="1"/>
  <c r="AJ90" i="1"/>
  <c r="CR90" i="1"/>
  <c r="Q90" i="1" s="1"/>
  <c r="CT90" i="1"/>
  <c r="S90" i="1" s="1"/>
  <c r="CV90" i="1"/>
  <c r="U90" i="1" s="1"/>
  <c r="CX90" i="1"/>
  <c r="W90" i="1" s="1"/>
  <c r="FR90" i="1"/>
  <c r="GL90" i="1"/>
  <c r="GO90" i="1"/>
  <c r="GP90" i="1"/>
  <c r="GV90" i="1"/>
  <c r="HC90" i="1"/>
  <c r="GX90" i="1" s="1"/>
  <c r="I91" i="1"/>
  <c r="AC91" i="1"/>
  <c r="AB91" i="1" s="1"/>
  <c r="AD91" i="1"/>
  <c r="AE91" i="1"/>
  <c r="CS91" i="1" s="1"/>
  <c r="R91" i="1" s="1"/>
  <c r="AF91" i="1"/>
  <c r="AG91" i="1"/>
  <c r="CU91" i="1" s="1"/>
  <c r="T91" i="1" s="1"/>
  <c r="AH91" i="1"/>
  <c r="AI91" i="1"/>
  <c r="CW91" i="1" s="1"/>
  <c r="V91" i="1" s="1"/>
  <c r="AJ91" i="1"/>
  <c r="CR91" i="1"/>
  <c r="Q91" i="1" s="1"/>
  <c r="CT91" i="1"/>
  <c r="S91" i="1" s="1"/>
  <c r="CV91" i="1"/>
  <c r="U91" i="1" s="1"/>
  <c r="CX91" i="1"/>
  <c r="W91" i="1" s="1"/>
  <c r="FR91" i="1"/>
  <c r="GL91" i="1"/>
  <c r="GO91" i="1"/>
  <c r="GP91" i="1"/>
  <c r="GV91" i="1"/>
  <c r="GX91" i="1"/>
  <c r="HC91" i="1"/>
  <c r="C92" i="1"/>
  <c r="D92" i="1"/>
  <c r="I92" i="1"/>
  <c r="AC92" i="1"/>
  <c r="AD92" i="1"/>
  <c r="CR92" i="1" s="1"/>
  <c r="Q92" i="1" s="1"/>
  <c r="AE92" i="1"/>
  <c r="AF92" i="1"/>
  <c r="CT92" i="1" s="1"/>
  <c r="S92" i="1" s="1"/>
  <c r="AG92" i="1"/>
  <c r="AH92" i="1"/>
  <c r="CV92" i="1" s="1"/>
  <c r="U92" i="1" s="1"/>
  <c r="AI92" i="1"/>
  <c r="AJ92" i="1"/>
  <c r="CX92" i="1" s="1"/>
  <c r="W92" i="1" s="1"/>
  <c r="CQ92" i="1"/>
  <c r="P92" i="1" s="1"/>
  <c r="CS92" i="1"/>
  <c r="R92" i="1" s="1"/>
  <c r="GK92" i="1" s="1"/>
  <c r="CU92" i="1"/>
  <c r="T92" i="1" s="1"/>
  <c r="CW92" i="1"/>
  <c r="V92" i="1" s="1"/>
  <c r="FR92" i="1"/>
  <c r="GL92" i="1"/>
  <c r="GO92" i="1"/>
  <c r="GP92" i="1"/>
  <c r="GV92" i="1"/>
  <c r="GX92" i="1"/>
  <c r="HC92" i="1"/>
  <c r="I93" i="1"/>
  <c r="AC93" i="1"/>
  <c r="AD93" i="1"/>
  <c r="AB93" i="1" s="1"/>
  <c r="AE93" i="1"/>
  <c r="AF93" i="1"/>
  <c r="CT93" i="1" s="1"/>
  <c r="S93" i="1" s="1"/>
  <c r="AG93" i="1"/>
  <c r="AH93" i="1"/>
  <c r="CV93" i="1" s="1"/>
  <c r="U93" i="1" s="1"/>
  <c r="AI93" i="1"/>
  <c r="AJ93" i="1"/>
  <c r="CX93" i="1" s="1"/>
  <c r="W93" i="1" s="1"/>
  <c r="CQ93" i="1"/>
  <c r="P93" i="1" s="1"/>
  <c r="CS93" i="1"/>
  <c r="R93" i="1" s="1"/>
  <c r="CU93" i="1"/>
  <c r="T93" i="1" s="1"/>
  <c r="CW93" i="1"/>
  <c r="V93" i="1" s="1"/>
  <c r="FR93" i="1"/>
  <c r="GL93" i="1"/>
  <c r="GO93" i="1"/>
  <c r="GP93" i="1"/>
  <c r="GV93" i="1"/>
  <c r="HC93" i="1"/>
  <c r="GX93" i="1" s="1"/>
  <c r="B95" i="1"/>
  <c r="B22" i="1" s="1"/>
  <c r="C95" i="1"/>
  <c r="C22" i="1" s="1"/>
  <c r="D95" i="1"/>
  <c r="D22" i="1" s="1"/>
  <c r="F95" i="1"/>
  <c r="F22" i="1" s="1"/>
  <c r="G95" i="1"/>
  <c r="G22" i="1" s="1"/>
  <c r="AO95" i="1"/>
  <c r="AO22" i="1" s="1"/>
  <c r="BC95" i="1"/>
  <c r="BC22" i="1" s="1"/>
  <c r="BX95" i="1"/>
  <c r="BX22" i="1" s="1"/>
  <c r="BY95" i="1"/>
  <c r="BY22" i="1" s="1"/>
  <c r="CC95" i="1"/>
  <c r="CC22" i="1" s="1"/>
  <c r="CK95" i="1"/>
  <c r="CK22" i="1" s="1"/>
  <c r="CL95" i="1"/>
  <c r="CL22" i="1" s="1"/>
  <c r="F99" i="1"/>
  <c r="F111" i="1"/>
  <c r="B124" i="1"/>
  <c r="B18" i="1" s="1"/>
  <c r="C124" i="1"/>
  <c r="C18" i="1" s="1"/>
  <c r="D124" i="1"/>
  <c r="D18" i="1" s="1"/>
  <c r="F124" i="1"/>
  <c r="F18" i="1" s="1"/>
  <c r="G124" i="1"/>
  <c r="G18" i="1" s="1"/>
  <c r="AO124" i="1"/>
  <c r="AO18" i="1" s="1"/>
  <c r="BC124" i="1"/>
  <c r="BC18" i="1" s="1"/>
  <c r="CY91" i="1" l="1"/>
  <c r="X91" i="1" s="1"/>
  <c r="CZ91" i="1"/>
  <c r="Y91" i="1" s="1"/>
  <c r="CP88" i="1"/>
  <c r="O88" i="1" s="1"/>
  <c r="CZ87" i="1"/>
  <c r="Y87" i="1" s="1"/>
  <c r="CY87" i="1"/>
  <c r="X87" i="1" s="1"/>
  <c r="CY84" i="1"/>
  <c r="X84" i="1" s="1"/>
  <c r="CZ84" i="1"/>
  <c r="Y84" i="1" s="1"/>
  <c r="CZ82" i="1"/>
  <c r="Y82" i="1" s="1"/>
  <c r="CY82" i="1"/>
  <c r="X82" i="1" s="1"/>
  <c r="CZ81" i="1"/>
  <c r="Y81" i="1" s="1"/>
  <c r="CY81" i="1"/>
  <c r="X81" i="1" s="1"/>
  <c r="CY80" i="1"/>
  <c r="X80" i="1" s="1"/>
  <c r="CZ80" i="1"/>
  <c r="Y80" i="1" s="1"/>
  <c r="CP92" i="1"/>
  <c r="O92" i="1" s="1"/>
  <c r="CY90" i="1"/>
  <c r="X90" i="1" s="1"/>
  <c r="CZ90" i="1"/>
  <c r="Y90" i="1" s="1"/>
  <c r="CZ89" i="1"/>
  <c r="Y89" i="1" s="1"/>
  <c r="GN89" i="1" s="1"/>
  <c r="CY89" i="1"/>
  <c r="X89" i="1" s="1"/>
  <c r="CZ88" i="1"/>
  <c r="Y88" i="1" s="1"/>
  <c r="CY88" i="1"/>
  <c r="X88" i="1" s="1"/>
  <c r="CP86" i="1"/>
  <c r="O86" i="1" s="1"/>
  <c r="CP84" i="1"/>
  <c r="O84" i="1" s="1"/>
  <c r="CP80" i="1"/>
  <c r="O80" i="1" s="1"/>
  <c r="S79" i="1"/>
  <c r="CP78" i="1"/>
  <c r="O78" i="1" s="1"/>
  <c r="CY77" i="1"/>
  <c r="X77" i="1" s="1"/>
  <c r="CZ77" i="1"/>
  <c r="Y77" i="1" s="1"/>
  <c r="CP76" i="1"/>
  <c r="O76" i="1" s="1"/>
  <c r="CZ74" i="1"/>
  <c r="Y74" i="1" s="1"/>
  <c r="CY74" i="1"/>
  <c r="X74" i="1" s="1"/>
  <c r="CZ71" i="1"/>
  <c r="Y71" i="1" s="1"/>
  <c r="CY71" i="1"/>
  <c r="X71" i="1" s="1"/>
  <c r="CY67" i="1"/>
  <c r="X67" i="1" s="1"/>
  <c r="CZ67" i="1"/>
  <c r="Y67" i="1" s="1"/>
  <c r="CY93" i="1"/>
  <c r="X93" i="1" s="1"/>
  <c r="CZ93" i="1"/>
  <c r="Y93" i="1" s="1"/>
  <c r="CY92" i="1"/>
  <c r="X92" i="1" s="1"/>
  <c r="CZ92" i="1"/>
  <c r="Y92" i="1" s="1"/>
  <c r="GM89" i="1"/>
  <c r="CY86" i="1"/>
  <c r="X86" i="1" s="1"/>
  <c r="CZ86" i="1"/>
  <c r="Y86" i="1" s="1"/>
  <c r="CZ83" i="1"/>
  <c r="Y83" i="1" s="1"/>
  <c r="CY83" i="1"/>
  <c r="X83" i="1" s="1"/>
  <c r="U79" i="1"/>
  <c r="V79" i="1"/>
  <c r="R79" i="1"/>
  <c r="CZ78" i="1"/>
  <c r="Y78" i="1" s="1"/>
  <c r="CY78" i="1"/>
  <c r="X78" i="1" s="1"/>
  <c r="CZ76" i="1"/>
  <c r="Y76" i="1" s="1"/>
  <c r="CY76" i="1"/>
  <c r="X76" i="1" s="1"/>
  <c r="CY75" i="1"/>
  <c r="X75" i="1" s="1"/>
  <c r="CZ75" i="1"/>
  <c r="Y75" i="1" s="1"/>
  <c r="CY73" i="1"/>
  <c r="X73" i="1" s="1"/>
  <c r="CZ73" i="1"/>
  <c r="Y73" i="1" s="1"/>
  <c r="CD22" i="1"/>
  <c r="AU95" i="1"/>
  <c r="BZ22" i="1"/>
  <c r="AQ95" i="1"/>
  <c r="CG95" i="1"/>
  <c r="CI95" i="1"/>
  <c r="CZ72" i="1"/>
  <c r="Y72" i="1" s="1"/>
  <c r="CY72" i="1"/>
  <c r="X72" i="1" s="1"/>
  <c r="CY70" i="1"/>
  <c r="X70" i="1" s="1"/>
  <c r="CZ70" i="1"/>
  <c r="Y70" i="1" s="1"/>
  <c r="CY69" i="1"/>
  <c r="X69" i="1" s="1"/>
  <c r="CZ69" i="1"/>
  <c r="Y69" i="1" s="1"/>
  <c r="GM68" i="1"/>
  <c r="AB92" i="1"/>
  <c r="AB89" i="1"/>
  <c r="AB86" i="1"/>
  <c r="CX148" i="3"/>
  <c r="CX150" i="3"/>
  <c r="CX152" i="3"/>
  <c r="CX154" i="3"/>
  <c r="CX156" i="3"/>
  <c r="CX158" i="3"/>
  <c r="CX160" i="3"/>
  <c r="CX162" i="3"/>
  <c r="CX151" i="3"/>
  <c r="CX155" i="3"/>
  <c r="CX159" i="3"/>
  <c r="CX149" i="3"/>
  <c r="CX157" i="3"/>
  <c r="CX161" i="3"/>
  <c r="CX153" i="3"/>
  <c r="AB80" i="1"/>
  <c r="AB78" i="1"/>
  <c r="F140" i="1"/>
  <c r="F128" i="1"/>
  <c r="BB95" i="1"/>
  <c r="AT95" i="1"/>
  <c r="AP95" i="1"/>
  <c r="CR93" i="1"/>
  <c r="Q93" i="1" s="1"/>
  <c r="CP93" i="1" s="1"/>
  <c r="O93" i="1" s="1"/>
  <c r="CQ91" i="1"/>
  <c r="P91" i="1" s="1"/>
  <c r="CP91" i="1" s="1"/>
  <c r="O91" i="1" s="1"/>
  <c r="CQ90" i="1"/>
  <c r="P90" i="1" s="1"/>
  <c r="CP90" i="1" s="1"/>
  <c r="O90" i="1" s="1"/>
  <c r="CX174" i="3"/>
  <c r="CX176" i="3"/>
  <c r="CX177" i="3"/>
  <c r="CX175" i="3"/>
  <c r="CR88" i="1"/>
  <c r="Q88" i="1" s="1"/>
  <c r="CR87" i="1"/>
  <c r="Q87" i="1" s="1"/>
  <c r="CP87" i="1" s="1"/>
  <c r="O87" i="1" s="1"/>
  <c r="CQ85" i="1"/>
  <c r="I85" i="1"/>
  <c r="GX85" i="1" s="1"/>
  <c r="CR84" i="1"/>
  <c r="Q84" i="1" s="1"/>
  <c r="CR83" i="1"/>
  <c r="Q83" i="1" s="1"/>
  <c r="CP83" i="1" s="1"/>
  <c r="O83" i="1" s="1"/>
  <c r="CQ82" i="1"/>
  <c r="P82" i="1" s="1"/>
  <c r="CP82" i="1" s="1"/>
  <c r="O82" i="1" s="1"/>
  <c r="CQ81" i="1"/>
  <c r="P81" i="1" s="1"/>
  <c r="CP81" i="1" s="1"/>
  <c r="O81" i="1" s="1"/>
  <c r="CX138" i="3"/>
  <c r="CX140" i="3"/>
  <c r="CX142" i="3"/>
  <c r="CX144" i="3"/>
  <c r="CX146" i="3"/>
  <c r="CX139" i="3"/>
  <c r="CX143" i="3"/>
  <c r="CX147" i="3"/>
  <c r="CX137" i="3"/>
  <c r="CX145" i="3"/>
  <c r="CX141" i="3"/>
  <c r="CQ79" i="1"/>
  <c r="P79" i="1" s="1"/>
  <c r="I79" i="1"/>
  <c r="GX79" i="1" s="1"/>
  <c r="CQ77" i="1"/>
  <c r="P77" i="1" s="1"/>
  <c r="CP77" i="1" s="1"/>
  <c r="O77" i="1" s="1"/>
  <c r="CR76" i="1"/>
  <c r="Q76" i="1" s="1"/>
  <c r="CR75" i="1"/>
  <c r="Q75" i="1" s="1"/>
  <c r="CP75" i="1" s="1"/>
  <c r="O75" i="1" s="1"/>
  <c r="CQ74" i="1"/>
  <c r="P74" i="1" s="1"/>
  <c r="CP74" i="1" s="1"/>
  <c r="O74" i="1" s="1"/>
  <c r="CR73" i="1"/>
  <c r="Q73" i="1" s="1"/>
  <c r="CP73" i="1" s="1"/>
  <c r="O73" i="1" s="1"/>
  <c r="CQ72" i="1"/>
  <c r="P72" i="1" s="1"/>
  <c r="CP72" i="1" s="1"/>
  <c r="O72" i="1" s="1"/>
  <c r="CQ71" i="1"/>
  <c r="P71" i="1" s="1"/>
  <c r="CP71" i="1" s="1"/>
  <c r="O71" i="1" s="1"/>
  <c r="CX110" i="3"/>
  <c r="CX112" i="3"/>
  <c r="CX114" i="3"/>
  <c r="CX116" i="3"/>
  <c r="CX111" i="3"/>
  <c r="CX115" i="3"/>
  <c r="CX113" i="3"/>
  <c r="CX109" i="3"/>
  <c r="CX117" i="3"/>
  <c r="CR70" i="1"/>
  <c r="Q70" i="1" s="1"/>
  <c r="CP70" i="1" s="1"/>
  <c r="O70" i="1" s="1"/>
  <c r="CY68" i="1"/>
  <c r="X68" i="1" s="1"/>
  <c r="GN68" i="1" s="1"/>
  <c r="AB66" i="1"/>
  <c r="CR66" i="1"/>
  <c r="Q66" i="1" s="1"/>
  <c r="CY65" i="1"/>
  <c r="X65" i="1" s="1"/>
  <c r="CZ65" i="1"/>
  <c r="Y65" i="1" s="1"/>
  <c r="CZ64" i="1"/>
  <c r="Y64" i="1" s="1"/>
  <c r="CY64" i="1"/>
  <c r="X64" i="1" s="1"/>
  <c r="CY62" i="1"/>
  <c r="X62" i="1" s="1"/>
  <c r="CZ62" i="1"/>
  <c r="Y62" i="1" s="1"/>
  <c r="CZ61" i="1"/>
  <c r="Y61" i="1" s="1"/>
  <c r="CY61" i="1"/>
  <c r="X61" i="1" s="1"/>
  <c r="CY59" i="1"/>
  <c r="X59" i="1" s="1"/>
  <c r="CZ59" i="1"/>
  <c r="Y59" i="1" s="1"/>
  <c r="CZ58" i="1"/>
  <c r="Y58" i="1" s="1"/>
  <c r="CY58" i="1"/>
  <c r="X58" i="1" s="1"/>
  <c r="CY56" i="1"/>
  <c r="X56" i="1" s="1"/>
  <c r="CZ56" i="1"/>
  <c r="Y56" i="1" s="1"/>
  <c r="CY55" i="1"/>
  <c r="X55" i="1" s="1"/>
  <c r="CZ55" i="1"/>
  <c r="Y55" i="1" s="1"/>
  <c r="U54" i="1"/>
  <c r="Q54" i="1"/>
  <c r="V54" i="1"/>
  <c r="T54" i="1"/>
  <c r="R54" i="1"/>
  <c r="CZ51" i="1"/>
  <c r="Y51" i="1" s="1"/>
  <c r="CY51" i="1"/>
  <c r="X51" i="1" s="1"/>
  <c r="CZ50" i="1"/>
  <c r="Y50" i="1" s="1"/>
  <c r="CY50" i="1"/>
  <c r="X50" i="1" s="1"/>
  <c r="CY49" i="1"/>
  <c r="X49" i="1" s="1"/>
  <c r="CZ49" i="1"/>
  <c r="Y49" i="1" s="1"/>
  <c r="CY48" i="1"/>
  <c r="X48" i="1" s="1"/>
  <c r="CZ48" i="1"/>
  <c r="Y48" i="1" s="1"/>
  <c r="GN47" i="1"/>
  <c r="GM47" i="1"/>
  <c r="CX179" i="3"/>
  <c r="CX181" i="3"/>
  <c r="CX183" i="3"/>
  <c r="CX185" i="3"/>
  <c r="CX187" i="3"/>
  <c r="CX189" i="3"/>
  <c r="CX180" i="3"/>
  <c r="CX184" i="3"/>
  <c r="CX188" i="3"/>
  <c r="CX178" i="3"/>
  <c r="CX186" i="3"/>
  <c r="CX182" i="3"/>
  <c r="CX190" i="3"/>
  <c r="CX164" i="3"/>
  <c r="CX166" i="3"/>
  <c r="CX163" i="3"/>
  <c r="CX165" i="3"/>
  <c r="CX118" i="3"/>
  <c r="CX120" i="3"/>
  <c r="CX122" i="3"/>
  <c r="CX124" i="3"/>
  <c r="CX126" i="3"/>
  <c r="CX128" i="3"/>
  <c r="CX130" i="3"/>
  <c r="CX132" i="3"/>
  <c r="CX134" i="3"/>
  <c r="CX136" i="3"/>
  <c r="CX119" i="3"/>
  <c r="CX123" i="3"/>
  <c r="CX127" i="3"/>
  <c r="CX131" i="3"/>
  <c r="CX135" i="3"/>
  <c r="CX121" i="3"/>
  <c r="CX129" i="3"/>
  <c r="CX125" i="3"/>
  <c r="CX133" i="3"/>
  <c r="AB69" i="1"/>
  <c r="CQ69" i="1"/>
  <c r="P69" i="1" s="1"/>
  <c r="CP69" i="1" s="1"/>
  <c r="O69" i="1" s="1"/>
  <c r="AB68" i="1"/>
  <c r="AB67" i="1"/>
  <c r="CQ67" i="1"/>
  <c r="P67" i="1" s="1"/>
  <c r="CP67" i="1" s="1"/>
  <c r="O67" i="1" s="1"/>
  <c r="CP66" i="1"/>
  <c r="O66" i="1" s="1"/>
  <c r="CZ63" i="1"/>
  <c r="Y63" i="1" s="1"/>
  <c r="CY63" i="1"/>
  <c r="X63" i="1" s="1"/>
  <c r="CP62" i="1"/>
  <c r="O62" i="1" s="1"/>
  <c r="CZ60" i="1"/>
  <c r="Y60" i="1" s="1"/>
  <c r="CY60" i="1"/>
  <c r="X60" i="1" s="1"/>
  <c r="CZ57" i="1"/>
  <c r="Y57" i="1" s="1"/>
  <c r="CY57" i="1"/>
  <c r="X57" i="1" s="1"/>
  <c r="CZ54" i="1"/>
  <c r="Y54" i="1" s="1"/>
  <c r="CY54" i="1"/>
  <c r="X54" i="1" s="1"/>
  <c r="CY53" i="1"/>
  <c r="X53" i="1" s="1"/>
  <c r="CZ53" i="1"/>
  <c r="Y53" i="1" s="1"/>
  <c r="CY52" i="1"/>
  <c r="X52" i="1" s="1"/>
  <c r="CZ52" i="1"/>
  <c r="Y52" i="1" s="1"/>
  <c r="GM46" i="1"/>
  <c r="GN46" i="1"/>
  <c r="CX106" i="3"/>
  <c r="CX108" i="3"/>
  <c r="CX107" i="3"/>
  <c r="CX105" i="3"/>
  <c r="CR65" i="1"/>
  <c r="Q65" i="1" s="1"/>
  <c r="CP65" i="1" s="1"/>
  <c r="O65" i="1" s="1"/>
  <c r="CQ64" i="1"/>
  <c r="P64" i="1" s="1"/>
  <c r="CP64" i="1" s="1"/>
  <c r="O64" i="1" s="1"/>
  <c r="CQ63" i="1"/>
  <c r="P63" i="1" s="1"/>
  <c r="CP63" i="1" s="1"/>
  <c r="O63" i="1" s="1"/>
  <c r="CX92" i="3"/>
  <c r="CX94" i="3"/>
  <c r="CX95" i="3"/>
  <c r="CX93" i="3"/>
  <c r="CR62" i="1"/>
  <c r="Q62" i="1" s="1"/>
  <c r="CQ61" i="1"/>
  <c r="P61" i="1" s="1"/>
  <c r="CP61" i="1" s="1"/>
  <c r="O61" i="1" s="1"/>
  <c r="CQ60" i="1"/>
  <c r="P60" i="1" s="1"/>
  <c r="CP60" i="1" s="1"/>
  <c r="O60" i="1" s="1"/>
  <c r="CX88" i="3"/>
  <c r="CX90" i="3"/>
  <c r="CX91" i="3"/>
  <c r="CX89" i="3"/>
  <c r="CR59" i="1"/>
  <c r="Q59" i="1" s="1"/>
  <c r="CP59" i="1" s="1"/>
  <c r="O59" i="1" s="1"/>
  <c r="CQ58" i="1"/>
  <c r="P58" i="1" s="1"/>
  <c r="CP58" i="1" s="1"/>
  <c r="O58" i="1" s="1"/>
  <c r="CQ57" i="1"/>
  <c r="P57" i="1" s="1"/>
  <c r="CP57" i="1" s="1"/>
  <c r="O57" i="1" s="1"/>
  <c r="CX84" i="3"/>
  <c r="CX86" i="3"/>
  <c r="CX83" i="3"/>
  <c r="CX87" i="3"/>
  <c r="CX85" i="3"/>
  <c r="CR56" i="1"/>
  <c r="Q56" i="1" s="1"/>
  <c r="CP56" i="1" s="1"/>
  <c r="O56" i="1" s="1"/>
  <c r="CR55" i="1"/>
  <c r="Q55" i="1" s="1"/>
  <c r="CP55" i="1" s="1"/>
  <c r="O55" i="1" s="1"/>
  <c r="CQ54" i="1"/>
  <c r="P54" i="1" s="1"/>
  <c r="CP54" i="1" s="1"/>
  <c r="O54" i="1" s="1"/>
  <c r="CR53" i="1"/>
  <c r="Q53" i="1" s="1"/>
  <c r="CP53" i="1" s="1"/>
  <c r="O53" i="1" s="1"/>
  <c r="CR52" i="1"/>
  <c r="Q52" i="1" s="1"/>
  <c r="CP52" i="1" s="1"/>
  <c r="O52" i="1" s="1"/>
  <c r="CQ51" i="1"/>
  <c r="P51" i="1" s="1"/>
  <c r="CP51" i="1" s="1"/>
  <c r="O51" i="1" s="1"/>
  <c r="CQ50" i="1"/>
  <c r="P50" i="1" s="1"/>
  <c r="CP50" i="1" s="1"/>
  <c r="O50" i="1" s="1"/>
  <c r="AB48" i="1"/>
  <c r="CQ48" i="1"/>
  <c r="P48" i="1" s="1"/>
  <c r="CP48" i="1" s="1"/>
  <c r="O48" i="1" s="1"/>
  <c r="CZ44" i="1"/>
  <c r="Y44" i="1" s="1"/>
  <c r="CY43" i="1"/>
  <c r="X43" i="1" s="1"/>
  <c r="CZ43" i="1"/>
  <c r="Y43" i="1" s="1"/>
  <c r="AB43" i="1"/>
  <c r="CQ43" i="1"/>
  <c r="P43" i="1" s="1"/>
  <c r="CP43" i="1" s="1"/>
  <c r="O43" i="1" s="1"/>
  <c r="GM41" i="1"/>
  <c r="U37" i="1"/>
  <c r="GM35" i="1"/>
  <c r="CY31" i="1"/>
  <c r="X31" i="1" s="1"/>
  <c r="CZ31" i="1"/>
  <c r="Y31" i="1" s="1"/>
  <c r="CY30" i="1"/>
  <c r="X30" i="1" s="1"/>
  <c r="CZ30" i="1"/>
  <c r="Y30" i="1" s="1"/>
  <c r="GN29" i="1"/>
  <c r="GM29" i="1"/>
  <c r="CX96" i="3"/>
  <c r="CX98" i="3"/>
  <c r="CX100" i="3"/>
  <c r="CX102" i="3"/>
  <c r="CX104" i="3"/>
  <c r="CX99" i="3"/>
  <c r="CX103" i="3"/>
  <c r="CX97" i="3"/>
  <c r="CX101" i="3"/>
  <c r="CX78" i="3"/>
  <c r="CX80" i="3"/>
  <c r="CX82" i="3"/>
  <c r="CX79" i="3"/>
  <c r="CX81" i="3"/>
  <c r="CX70" i="3"/>
  <c r="CX72" i="3"/>
  <c r="CX74" i="3"/>
  <c r="CX76" i="3"/>
  <c r="CX71" i="3"/>
  <c r="CX75" i="3"/>
  <c r="CX73" i="3"/>
  <c r="CX69" i="3"/>
  <c r="CX77" i="3"/>
  <c r="CX66" i="3"/>
  <c r="CX68" i="3"/>
  <c r="CX67" i="3"/>
  <c r="AB49" i="1"/>
  <c r="CQ49" i="1"/>
  <c r="P49" i="1" s="1"/>
  <c r="CP49" i="1" s="1"/>
  <c r="O49" i="1" s="1"/>
  <c r="GN45" i="1"/>
  <c r="GM45" i="1"/>
  <c r="CY40" i="1"/>
  <c r="X40" i="1" s="1"/>
  <c r="CZ40" i="1"/>
  <c r="Y40" i="1" s="1"/>
  <c r="CY39" i="1"/>
  <c r="X39" i="1" s="1"/>
  <c r="CZ39" i="1"/>
  <c r="Y39" i="1" s="1"/>
  <c r="GN38" i="1"/>
  <c r="GM38" i="1"/>
  <c r="W37" i="1"/>
  <c r="CY34" i="1"/>
  <c r="X34" i="1" s="1"/>
  <c r="CZ34" i="1"/>
  <c r="Y34" i="1" s="1"/>
  <c r="CY33" i="1"/>
  <c r="X33" i="1" s="1"/>
  <c r="CZ33" i="1"/>
  <c r="Y33" i="1" s="1"/>
  <c r="GN32" i="1"/>
  <c r="GM32" i="1"/>
  <c r="U28" i="1"/>
  <c r="AB47" i="1"/>
  <c r="AB46" i="1"/>
  <c r="AB45" i="1"/>
  <c r="AB44" i="1"/>
  <c r="CQ44" i="1"/>
  <c r="P44" i="1" s="1"/>
  <c r="CP44" i="1" s="1"/>
  <c r="O44" i="1" s="1"/>
  <c r="CY42" i="1"/>
  <c r="X42" i="1" s="1"/>
  <c r="GM42" i="1" s="1"/>
  <c r="CY41" i="1"/>
  <c r="X41" i="1" s="1"/>
  <c r="GN41" i="1" s="1"/>
  <c r="AB39" i="1"/>
  <c r="CQ39" i="1"/>
  <c r="P39" i="1" s="1"/>
  <c r="CP39" i="1" s="1"/>
  <c r="O39" i="1" s="1"/>
  <c r="AB38" i="1"/>
  <c r="T37" i="1"/>
  <c r="AB37" i="1"/>
  <c r="CQ37" i="1"/>
  <c r="CY36" i="1"/>
  <c r="X36" i="1" s="1"/>
  <c r="GM36" i="1" s="1"/>
  <c r="CY35" i="1"/>
  <c r="X35" i="1" s="1"/>
  <c r="GN35" i="1" s="1"/>
  <c r="AB33" i="1"/>
  <c r="CQ33" i="1"/>
  <c r="P33" i="1" s="1"/>
  <c r="CP33" i="1" s="1"/>
  <c r="O33" i="1" s="1"/>
  <c r="AB32" i="1"/>
  <c r="AB31" i="1"/>
  <c r="CQ31" i="1"/>
  <c r="P31" i="1" s="1"/>
  <c r="CP31" i="1" s="1"/>
  <c r="O31" i="1" s="1"/>
  <c r="CP27" i="1"/>
  <c r="O27" i="1" s="1"/>
  <c r="AB42" i="1"/>
  <c r="AB41" i="1"/>
  <c r="CX46" i="3"/>
  <c r="CX48" i="3"/>
  <c r="CX50" i="3"/>
  <c r="CX52" i="3"/>
  <c r="CX54" i="3"/>
  <c r="CX47" i="3"/>
  <c r="CX51" i="3"/>
  <c r="CX49" i="3"/>
  <c r="CX45" i="3"/>
  <c r="CX53" i="3"/>
  <c r="AB40" i="1"/>
  <c r="CQ40" i="1"/>
  <c r="P40" i="1" s="1"/>
  <c r="CP40" i="1" s="1"/>
  <c r="O40" i="1" s="1"/>
  <c r="AB36" i="1"/>
  <c r="AB35" i="1"/>
  <c r="CX36" i="3"/>
  <c r="CX38" i="3"/>
  <c r="CX40" i="3"/>
  <c r="CX42" i="3"/>
  <c r="CX39" i="3"/>
  <c r="CX41" i="3"/>
  <c r="CX37" i="3"/>
  <c r="I37" i="1"/>
  <c r="GX37" i="1" s="1"/>
  <c r="AB34" i="1"/>
  <c r="CQ34" i="1"/>
  <c r="P34" i="1" s="1"/>
  <c r="CP34" i="1" s="1"/>
  <c r="O34" i="1" s="1"/>
  <c r="AB30" i="1"/>
  <c r="CQ30" i="1"/>
  <c r="P30" i="1" s="1"/>
  <c r="CP30" i="1" s="1"/>
  <c r="O30" i="1" s="1"/>
  <c r="W28" i="1"/>
  <c r="CZ27" i="1"/>
  <c r="Y27" i="1" s="1"/>
  <c r="CY27" i="1"/>
  <c r="X27" i="1" s="1"/>
  <c r="AB27" i="1"/>
  <c r="AB26" i="1"/>
  <c r="CQ26" i="1"/>
  <c r="GN25" i="1"/>
  <c r="GM25" i="1"/>
  <c r="GM24" i="1"/>
  <c r="GN24" i="1"/>
  <c r="CX62" i="3"/>
  <c r="CX64" i="3"/>
  <c r="CX63" i="3"/>
  <c r="CX56" i="3"/>
  <c r="CX58" i="3"/>
  <c r="CX60" i="3"/>
  <c r="CX55" i="3"/>
  <c r="CX59" i="3"/>
  <c r="CX44" i="3"/>
  <c r="CX43" i="3"/>
  <c r="CX32" i="3"/>
  <c r="CX34" i="3"/>
  <c r="CX35" i="3"/>
  <c r="CX22" i="3"/>
  <c r="CX24" i="3"/>
  <c r="CX26" i="3"/>
  <c r="CX28" i="3"/>
  <c r="CX30" i="3"/>
  <c r="CX23" i="3"/>
  <c r="CX27" i="3"/>
  <c r="CX31" i="3"/>
  <c r="AB29" i="1"/>
  <c r="V28" i="1"/>
  <c r="R28" i="1"/>
  <c r="AB28" i="1"/>
  <c r="CQ28" i="1"/>
  <c r="P28" i="1" s="1"/>
  <c r="AB25" i="1"/>
  <c r="AB24" i="1"/>
  <c r="CX2" i="3"/>
  <c r="CX4" i="3"/>
  <c r="CX6" i="3"/>
  <c r="CX8" i="3"/>
  <c r="CX10" i="3"/>
  <c r="CX12" i="3"/>
  <c r="CX14" i="3"/>
  <c r="CX16" i="3"/>
  <c r="CX18" i="3"/>
  <c r="CX20" i="3"/>
  <c r="CX1" i="3"/>
  <c r="CX5" i="3"/>
  <c r="CX9" i="3"/>
  <c r="CX13" i="3"/>
  <c r="CX17" i="3"/>
  <c r="CX21" i="3"/>
  <c r="CX3" i="3"/>
  <c r="CX7" i="3"/>
  <c r="CX11" i="3"/>
  <c r="CX15" i="3"/>
  <c r="CX19" i="3"/>
  <c r="I26" i="1"/>
  <c r="GX26" i="1" s="1"/>
  <c r="I28" i="1"/>
  <c r="CX29" i="3"/>
  <c r="CX65" i="3"/>
  <c r="GN52" i="1" l="1"/>
  <c r="GM52" i="1"/>
  <c r="GM56" i="1"/>
  <c r="GN56" i="1"/>
  <c r="GM59" i="1"/>
  <c r="GN59" i="1"/>
  <c r="GN65" i="1"/>
  <c r="GM65" i="1"/>
  <c r="GM70" i="1"/>
  <c r="GN70" i="1"/>
  <c r="GM73" i="1"/>
  <c r="GN73" i="1"/>
  <c r="GN75" i="1"/>
  <c r="GM75" i="1"/>
  <c r="GN83" i="1"/>
  <c r="GM83" i="1"/>
  <c r="GN87" i="1"/>
  <c r="GM87" i="1"/>
  <c r="GM93" i="1"/>
  <c r="GN93" i="1"/>
  <c r="GM53" i="1"/>
  <c r="GN53" i="1"/>
  <c r="GN55" i="1"/>
  <c r="GM55" i="1"/>
  <c r="CJ95" i="1"/>
  <c r="T26" i="1"/>
  <c r="U26" i="1"/>
  <c r="GM31" i="1"/>
  <c r="GN31" i="1"/>
  <c r="S26" i="1"/>
  <c r="GN36" i="1"/>
  <c r="GN42" i="1"/>
  <c r="GN48" i="1"/>
  <c r="GM48" i="1"/>
  <c r="GM50" i="1"/>
  <c r="GN50" i="1"/>
  <c r="GN54" i="1"/>
  <c r="GM54" i="1"/>
  <c r="GM57" i="1"/>
  <c r="GN57" i="1"/>
  <c r="GN61" i="1"/>
  <c r="GM61" i="1"/>
  <c r="GM63" i="1"/>
  <c r="GN63" i="1"/>
  <c r="GM62" i="1"/>
  <c r="GN62" i="1"/>
  <c r="GN66" i="1"/>
  <c r="GM66" i="1"/>
  <c r="GN69" i="1"/>
  <c r="GM69" i="1"/>
  <c r="GM71" i="1"/>
  <c r="GN71" i="1"/>
  <c r="GM77" i="1"/>
  <c r="GN77" i="1"/>
  <c r="GN81" i="1"/>
  <c r="GM81" i="1"/>
  <c r="GN90" i="1"/>
  <c r="GM90" i="1"/>
  <c r="AT22" i="1"/>
  <c r="AT124" i="1"/>
  <c r="F113" i="1"/>
  <c r="F16" i="2" s="1"/>
  <c r="F18" i="2" s="1"/>
  <c r="CI22" i="1"/>
  <c r="AZ95" i="1"/>
  <c r="AQ22" i="1"/>
  <c r="F105" i="1"/>
  <c r="AQ124" i="1"/>
  <c r="AU22" i="1"/>
  <c r="F114" i="1"/>
  <c r="AU124" i="1"/>
  <c r="U85" i="1"/>
  <c r="GN76" i="1"/>
  <c r="GM76" i="1"/>
  <c r="CZ79" i="1"/>
  <c r="Y79" i="1" s="1"/>
  <c r="CY79" i="1"/>
  <c r="X79" i="1" s="1"/>
  <c r="GM80" i="1"/>
  <c r="GN80" i="1"/>
  <c r="GM84" i="1"/>
  <c r="GN84" i="1"/>
  <c r="W85" i="1"/>
  <c r="T85" i="1"/>
  <c r="GN88" i="1"/>
  <c r="GM88" i="1"/>
  <c r="GX28" i="1"/>
  <c r="Q28" i="1"/>
  <c r="CP28" i="1" s="1"/>
  <c r="O28" i="1" s="1"/>
  <c r="T28" i="1"/>
  <c r="P26" i="1"/>
  <c r="R26" i="1"/>
  <c r="V26" i="1"/>
  <c r="S28" i="1"/>
  <c r="GN30" i="1"/>
  <c r="GM30" i="1"/>
  <c r="GM34" i="1"/>
  <c r="GN34" i="1"/>
  <c r="GM40" i="1"/>
  <c r="GN40" i="1"/>
  <c r="Q26" i="1"/>
  <c r="GN27" i="1"/>
  <c r="GM27" i="1"/>
  <c r="GN33" i="1"/>
  <c r="GM33" i="1"/>
  <c r="P37" i="1"/>
  <c r="R37" i="1"/>
  <c r="V37" i="1"/>
  <c r="GN39" i="1"/>
  <c r="GM39" i="1"/>
  <c r="GM44" i="1"/>
  <c r="GN44" i="1"/>
  <c r="W26" i="1"/>
  <c r="S37" i="1"/>
  <c r="GM49" i="1"/>
  <c r="GN49" i="1"/>
  <c r="Q37" i="1"/>
  <c r="GN43" i="1"/>
  <c r="GM43" i="1"/>
  <c r="GN51" i="1"/>
  <c r="GM51" i="1"/>
  <c r="GN58" i="1"/>
  <c r="GM58" i="1"/>
  <c r="GM60" i="1"/>
  <c r="GN60" i="1"/>
  <c r="GN64" i="1"/>
  <c r="GM64" i="1"/>
  <c r="GM67" i="1"/>
  <c r="GN67" i="1"/>
  <c r="GN72" i="1"/>
  <c r="GM72" i="1"/>
  <c r="GN74" i="1"/>
  <c r="GM74" i="1"/>
  <c r="GN82" i="1"/>
  <c r="GM82" i="1"/>
  <c r="P85" i="1"/>
  <c r="CP85" i="1" s="1"/>
  <c r="O85" i="1" s="1"/>
  <c r="GN91" i="1"/>
  <c r="GM91" i="1"/>
  <c r="AP22" i="1"/>
  <c r="F104" i="1"/>
  <c r="G16" i="2" s="1"/>
  <c r="G18" i="2" s="1"/>
  <c r="AP124" i="1"/>
  <c r="BB22" i="1"/>
  <c r="F108" i="1"/>
  <c r="BB124" i="1"/>
  <c r="CG22" i="1"/>
  <c r="AX95" i="1"/>
  <c r="T79" i="1"/>
  <c r="Q79" i="1"/>
  <c r="CP79" i="1" s="1"/>
  <c r="O79" i="1" s="1"/>
  <c r="V85" i="1"/>
  <c r="GN78" i="1"/>
  <c r="GM78" i="1"/>
  <c r="W79" i="1"/>
  <c r="S85" i="1"/>
  <c r="GM86" i="1"/>
  <c r="GN86" i="1"/>
  <c r="GM92" i="1"/>
  <c r="GN92" i="1"/>
  <c r="R85" i="1"/>
  <c r="Q85" i="1"/>
  <c r="GN79" i="1" l="1"/>
  <c r="GM79" i="1"/>
  <c r="AX22" i="1"/>
  <c r="F102" i="1"/>
  <c r="AX124" i="1"/>
  <c r="BB18" i="1"/>
  <c r="F137" i="1"/>
  <c r="CY37" i="1"/>
  <c r="X37" i="1" s="1"/>
  <c r="CZ37" i="1"/>
  <c r="Y37" i="1" s="1"/>
  <c r="CP37" i="1"/>
  <c r="O37" i="1" s="1"/>
  <c r="CY28" i="1"/>
  <c r="X28" i="1" s="1"/>
  <c r="GM28" i="1" s="1"/>
  <c r="CZ28" i="1"/>
  <c r="Y28" i="1" s="1"/>
  <c r="GN28" i="1" s="1"/>
  <c r="AE95" i="1"/>
  <c r="AQ18" i="1"/>
  <c r="F134" i="1"/>
  <c r="AT18" i="1"/>
  <c r="F142" i="1"/>
  <c r="AH95" i="1"/>
  <c r="CJ22" i="1"/>
  <c r="BA95" i="1"/>
  <c r="CZ85" i="1"/>
  <c r="Y85" i="1" s="1"/>
  <c r="GN85" i="1" s="1"/>
  <c r="CY85" i="1"/>
  <c r="X85" i="1" s="1"/>
  <c r="GM85" i="1" s="1"/>
  <c r="AP18" i="1"/>
  <c r="F133" i="1"/>
  <c r="AJ95" i="1"/>
  <c r="AD95" i="1"/>
  <c r="AI95" i="1"/>
  <c r="CP26" i="1"/>
  <c r="O26" i="1" s="1"/>
  <c r="AC95" i="1"/>
  <c r="AU18" i="1"/>
  <c r="F143" i="1"/>
  <c r="AZ22" i="1"/>
  <c r="F106" i="1"/>
  <c r="AZ124" i="1"/>
  <c r="CY26" i="1"/>
  <c r="X26" i="1" s="1"/>
  <c r="AK95" i="1" s="1"/>
  <c r="CZ26" i="1"/>
  <c r="Y26" i="1" s="1"/>
  <c r="AF95" i="1"/>
  <c r="AG95" i="1"/>
  <c r="AF22" i="1" l="1"/>
  <c r="S95" i="1"/>
  <c r="AK22" i="1"/>
  <c r="X95" i="1"/>
  <c r="AC22" i="1"/>
  <c r="P95" i="1"/>
  <c r="CF95" i="1"/>
  <c r="CH95" i="1"/>
  <c r="CE95" i="1"/>
  <c r="AI22" i="1"/>
  <c r="V95" i="1"/>
  <c r="AJ22" i="1"/>
  <c r="W95" i="1"/>
  <c r="GM37" i="1"/>
  <c r="GN37" i="1"/>
  <c r="AG22" i="1"/>
  <c r="T95" i="1"/>
  <c r="AL95" i="1"/>
  <c r="AZ18" i="1"/>
  <c r="F135" i="1"/>
  <c r="GM26" i="1"/>
  <c r="GN26" i="1"/>
  <c r="CB95" i="1" s="1"/>
  <c r="AB95" i="1"/>
  <c r="AD22" i="1"/>
  <c r="Q95" i="1"/>
  <c r="BA22" i="1"/>
  <c r="F115" i="1"/>
  <c r="H16" i="2" s="1"/>
  <c r="H18" i="2" s="1"/>
  <c r="BA124" i="1"/>
  <c r="AH22" i="1"/>
  <c r="U95" i="1"/>
  <c r="AE22" i="1"/>
  <c r="R95" i="1"/>
  <c r="AX18" i="1"/>
  <c r="F131" i="1"/>
  <c r="R22" i="1" l="1"/>
  <c r="F109" i="1"/>
  <c r="R124" i="1"/>
  <c r="U22" i="1"/>
  <c r="F117" i="1"/>
  <c r="U124" i="1"/>
  <c r="BA18" i="1"/>
  <c r="F144" i="1"/>
  <c r="CB22" i="1"/>
  <c r="AS95" i="1"/>
  <c r="AL22" i="1"/>
  <c r="Y95" i="1"/>
  <c r="CH22" i="1"/>
  <c r="AY95" i="1"/>
  <c r="P22" i="1"/>
  <c r="F98" i="1"/>
  <c r="P124" i="1"/>
  <c r="X22" i="1"/>
  <c r="F120" i="1"/>
  <c r="X124" i="1"/>
  <c r="S22" i="1"/>
  <c r="F110" i="1"/>
  <c r="J16" i="2" s="1"/>
  <c r="J18" i="2" s="1"/>
  <c r="S124" i="1"/>
  <c r="Q22" i="1"/>
  <c r="F107" i="1"/>
  <c r="Q124" i="1"/>
  <c r="AB22" i="1"/>
  <c r="O95" i="1"/>
  <c r="CA95" i="1"/>
  <c r="T22" i="1"/>
  <c r="F116" i="1"/>
  <c r="T124" i="1"/>
  <c r="W22" i="1"/>
  <c r="W124" i="1"/>
  <c r="F119" i="1"/>
  <c r="V22" i="1"/>
  <c r="F118" i="1"/>
  <c r="V124" i="1"/>
  <c r="CE22" i="1"/>
  <c r="AV95" i="1"/>
  <c r="CF22" i="1"/>
  <c r="AW95" i="1"/>
  <c r="AW22" i="1" l="1"/>
  <c r="F101" i="1"/>
  <c r="AW124" i="1"/>
  <c r="AV22" i="1"/>
  <c r="F100" i="1"/>
  <c r="AV124" i="1"/>
  <c r="V18" i="1"/>
  <c r="F147" i="1"/>
  <c r="W18" i="1"/>
  <c r="F148" i="1"/>
  <c r="T18" i="1"/>
  <c r="F145" i="1"/>
  <c r="O22" i="1"/>
  <c r="F97" i="1"/>
  <c r="O124" i="1"/>
  <c r="Q18" i="1"/>
  <c r="F136" i="1"/>
  <c r="X18" i="1"/>
  <c r="F149" i="1"/>
  <c r="AY22" i="1"/>
  <c r="F103" i="1"/>
  <c r="AY124" i="1"/>
  <c r="Y22" i="1"/>
  <c r="F121" i="1"/>
  <c r="Y124" i="1"/>
  <c r="AS22" i="1"/>
  <c r="F112" i="1"/>
  <c r="E16" i="2" s="1"/>
  <c r="AS124" i="1"/>
  <c r="U18" i="1"/>
  <c r="F146" i="1"/>
  <c r="CA22" i="1"/>
  <c r="AR95" i="1"/>
  <c r="S18" i="1"/>
  <c r="F139" i="1"/>
  <c r="P18" i="1"/>
  <c r="F127" i="1"/>
  <c r="R18" i="1"/>
  <c r="F138" i="1"/>
  <c r="AR22" i="1" l="1"/>
  <c r="F122" i="1"/>
  <c r="AR124" i="1"/>
  <c r="AS18" i="1"/>
  <c r="F141" i="1"/>
  <c r="AY18" i="1"/>
  <c r="F132" i="1"/>
  <c r="AV18" i="1"/>
  <c r="F129" i="1"/>
  <c r="I16" i="2"/>
  <c r="I18" i="2" s="1"/>
  <c r="E18" i="2"/>
  <c r="Y18" i="1"/>
  <c r="F150" i="1"/>
  <c r="O18" i="1"/>
  <c r="F126" i="1"/>
  <c r="AW18" i="1"/>
  <c r="F130" i="1"/>
  <c r="AR18" i="1" l="1"/>
  <c r="F151" i="1"/>
  <c r="F152" i="1" s="1"/>
  <c r="F153" i="1" l="1"/>
  <c r="F154" i="1" s="1"/>
</calcChain>
</file>

<file path=xl/sharedStrings.xml><?xml version="1.0" encoding="utf-8"?>
<sst xmlns="http://schemas.openxmlformats.org/spreadsheetml/2006/main" count="6105" uniqueCount="701">
  <si>
    <t>Smeta.RU Flash  (495) 974-1589</t>
  </si>
  <si>
    <t>_PS_</t>
  </si>
  <si>
    <t>Smeta.RU Flash</t>
  </si>
  <si>
    <t/>
  </si>
  <si>
    <t>Отделка</t>
  </si>
  <si>
    <t>Сметные нормы списания</t>
  </si>
  <si>
    <t>Коды ОКП для ТСН-2001 МГЭ</t>
  </si>
  <si>
    <t>ТСН-2001 (МГЭ) - Ремонт</t>
  </si>
  <si>
    <t>Типовой расчет для ТСН-2001 МГЭ (Ремонт), Доп 48</t>
  </si>
  <si>
    <t>Территориальные сметные нормативы для Москвы ТСН-2001 (МГЭ)</t>
  </si>
  <si>
    <t>Отделка помещения</t>
  </si>
  <si>
    <t>1</t>
  </si>
  <si>
    <t>3.10-96-1</t>
  </si>
  <si>
    <t>Облицовка стен гипсокартонными листами в один слой по одинарному металлическому каркасу из ПН и ПС профилей по системе типа "КНАУФ" (С 625) с оконным проемом (Включая заделку  швов шпатлевкой с применением армирующей ленты и углублений от винтов)</t>
  </si>
  <si>
    <t>100 м2</t>
  </si>
  <si>
    <t>ТСН-2001.3 Доп. 47, Сб. 10, т. 96, поз. 1</t>
  </si>
  <si>
    <t>Поправка: ТСН-2001.О.П. п.3.4. 6  Наименование: Выполняемые при ремонте и реконструкции работы аналогичные технологическим процессам, характерным для нового строительства и отсутствующим в сборниках на ремонтно-строительные работы</t>
  </si>
  <si>
    <t>)*1,25</t>
  </si>
  <si>
    <t>)*1,15</t>
  </si>
  <si>
    <t>Строительные работы</t>
  </si>
  <si>
    <t>ТСН-2001.3-10. 10-96, 10-97-1 (доп. 28, доп. 29)</t>
  </si>
  <si>
    <t>ТСН-2001.3-10-10</t>
  </si>
  <si>
    <t>Поправка: ТСН-2001.О.П. п.3.4. 6</t>
  </si>
  <si>
    <t>1,1</t>
  </si>
  <si>
    <t>1.1-1-3720</t>
  </si>
  <si>
    <t>Лента полимерная микропористая уплотнительная самоклеящаяся, типа "Дихтунгсбанд", ширина 70 мм, толщина 3,2 мм</t>
  </si>
  <si>
    <t>м</t>
  </si>
  <si>
    <t>ТСН-2001.1. Доп. 1-42. Р. 1, о. 1, поз. 3720</t>
  </si>
  <si>
    <t>1,2</t>
  </si>
  <si>
    <t>1.7-4-27</t>
  </si>
  <si>
    <t>Профили направляющих для монтажа гипсовых перегородок и подвесных потолков, стальные, оцинкованные, марка ПН, сечение 50х40х0,6 мм</t>
  </si>
  <si>
    <t>ТСН-2001.1. Доп. 1-42. Р. 7, о. 4, поз. 27</t>
  </si>
  <si>
    <t>1,3</t>
  </si>
  <si>
    <t>1,4</t>
  </si>
  <si>
    <t>1.1-1-569</t>
  </si>
  <si>
    <t>Листы гипсокартонные влагостойкие, толщина 12-16 мм</t>
  </si>
  <si>
    <t>м2</t>
  </si>
  <si>
    <t>ТСН-2001.1. Доп. 1-42. Р. 1, о. 1, поз. 569</t>
  </si>
  <si>
    <t>1,5</t>
  </si>
  <si>
    <t>1.1-1-3717</t>
  </si>
  <si>
    <t>Лента бумажная для армирования шпатлевочного шва при заделке стыков, ширина 50 мм</t>
  </si>
  <si>
    <t>ТСН-2001.1. Доп. 1-42. Р. 1, о. 1, поз. 3717</t>
  </si>
  <si>
    <t>2</t>
  </si>
  <si>
    <t>3.15-167-1</t>
  </si>
  <si>
    <t>Подготовка поверхностей  под  оклейку обоями (шпатлевание стен, установка защитного перфорированного профиля)</t>
  </si>
  <si>
    <t>ТСН-2001.3 Доп. 47, Сб. 15, т. 167, поз. 1</t>
  </si>
  <si>
    <t>ТСН-2001.3-15. 15-167 (доп. 21)</t>
  </si>
  <si>
    <t>ТСН-2001.3-15-29</t>
  </si>
  <si>
    <t>2,1</t>
  </si>
  <si>
    <t>1.7-4-25</t>
  </si>
  <si>
    <t>Профили металлические для перегородок и подвесных потолков стальные, оцинкованные, перфорированные, профиль угловой ПУ 25/25, сечение 25х25х0,4 мм</t>
  </si>
  <si>
    <t>ТСН-2001.1. Доп. 1-42. Р. 7, о. 4, поз. 25</t>
  </si>
  <si>
    <t>2,2</t>
  </si>
  <si>
    <t>1.3-2-193</t>
  </si>
  <si>
    <t>Смеси сухие шпаклевочные гипсовые, быстротвердеющие с химическими добавками, адгезионная прочность не менее 0,25 Н/мм2</t>
  </si>
  <si>
    <t>кг</t>
  </si>
  <si>
    <t>ТСН-2001.1. Доп. 1-42. Р. 3, о. 2, поз. 193</t>
  </si>
  <si>
    <t>3</t>
  </si>
  <si>
    <t>3.15-165-1</t>
  </si>
  <si>
    <t>Обработка поверхностей стен грунтовкой глубокого проникновения внутри помещения</t>
  </si>
  <si>
    <t>ТСН-2001.3 Доп. 47, Сб. 15, т. 165, поз. 1</t>
  </si>
  <si>
    <t>ТСН-2001.3-15. 15-164, 15-165 (доп. 20)</t>
  </si>
  <si>
    <t>ТСН-2001.3-15-28</t>
  </si>
  <si>
    <t>3,1</t>
  </si>
  <si>
    <t>1.1-1-2854</t>
  </si>
  <si>
    <t>Грунтовка акриловая типа «Бетоконтакт», адгезионная для обработки бетонных оснований перед оштукатуриванием</t>
  </si>
  <si>
    <t>ТСН-2001.1 Доп. 44, Р. 1, о. 1, поз. 2854</t>
  </si>
  <si>
    <t>4</t>
  </si>
  <si>
    <t>3.15-140-1</t>
  </si>
  <si>
    <t>Настенное покрытие стеклообоями с окраской поливинилацетатными красками за один раз с подготовкой</t>
  </si>
  <si>
    <t>100 м2 оклеиваемой поверхности</t>
  </si>
  <si>
    <t>ТСН-2001.3. Доп. 1-42. Сб. 15, т. 140, поз. 1</t>
  </si>
  <si>
    <t>ТСН-2001.3-15. 15-139...15-141</t>
  </si>
  <si>
    <t>ТСН-2001.3-15-13</t>
  </si>
  <si>
    <t>4,1</t>
  </si>
  <si>
    <t>1.1-1-438</t>
  </si>
  <si>
    <t>Краски водно-дисперсионные поливинилацетатные, белые, марка ВД-ВА-17</t>
  </si>
  <si>
    <t>т</t>
  </si>
  <si>
    <t>ТСН-2001.1. Доп. 1-42. Р. 1, о. 1, поз. 438</t>
  </si>
  <si>
    <t>4,2</t>
  </si>
  <si>
    <t>1.3-2-45</t>
  </si>
  <si>
    <t>Смеси сухие цементно-песчаные с полимерными добавками, быстротвердеющие, марка 300 (Ветонит 1000)</t>
  </si>
  <si>
    <t>ТСН-2001.1. Доп. 1-42. Р. 3, о. 2, поз. 45</t>
  </si>
  <si>
    <t>4,3</t>
  </si>
  <si>
    <t>1.1-1-1820</t>
  </si>
  <si>
    <t>Обои стеклотканевые под покраску для стен и потолков, однослойные</t>
  </si>
  <si>
    <t>ТСН-2001.1. Доп. 1-42. Р. 1, о. 1, поз. 1820</t>
  </si>
  <si>
    <t>5</t>
  </si>
  <si>
    <t>3.15-140-3</t>
  </si>
  <si>
    <t>Добавляется на окраску поливинилацетатными красками стеклообоев на каждый последующий слой к позициям 3.15-140-1, 3.15-140-2</t>
  </si>
  <si>
    <t>100 м2 окрашиваемой поверхности</t>
  </si>
  <si>
    <t>ТСН-2001.3. Доп. 1-42. Сб. 15, т. 140, поз. 3</t>
  </si>
  <si>
    <t>5,1</t>
  </si>
  <si>
    <t>6</t>
  </si>
  <si>
    <t>3.9-49-1</t>
  </si>
  <si>
    <t>Монтаж каркасов подвесных потолков с подвесками и деталями крепления</t>
  </si>
  <si>
    <t>1 т конструкций</t>
  </si>
  <si>
    <t>ТСН-2001.3. Доп. 1-42. Сб. 9, т. 49, поз. 1</t>
  </si>
  <si>
    <t>ТСН-2001.3-9. 9-1...9-72</t>
  </si>
  <si>
    <t>ТСН-2001.3-9-1</t>
  </si>
  <si>
    <t>6,1</t>
  </si>
  <si>
    <t>1.6-1-291</t>
  </si>
  <si>
    <t>Каркасы подвесных потолков с подвесками и деталями крепления</t>
  </si>
  <si>
    <t>ТСН-2001.1. Доп. 1-42. Р. 6, о. 1, поз. 291</t>
  </si>
  <si>
    <t>7</t>
  </si>
  <si>
    <t>3.15-29-1</t>
  </si>
  <si>
    <t>Устройство подвесных потолков из декоративно-акустических плит по готовому каркасу с установкой направляющих из алюминиевого профиля и деталей крепления</t>
  </si>
  <si>
    <t>ТСН-2001.3. Доп. 1-42. Сб. 15, т. 29, поз. 1</t>
  </si>
  <si>
    <t>ТСН-2001.3-15. 15-25...15-29</t>
  </si>
  <si>
    <t>ТСН-2001.3-15-5</t>
  </si>
  <si>
    <t>7,1</t>
  </si>
  <si>
    <t>1.1-1-863</t>
  </si>
  <si>
    <t>Комплектующие к подвесным потолкам, тип "Армстронг"</t>
  </si>
  <si>
    <t>КОМПЛЕКТ</t>
  </si>
  <si>
    <t>ТСН-2001.1. Доп. 1-42. Р. 1, о. 1, поз. 863</t>
  </si>
  <si>
    <t>7,2</t>
  </si>
  <si>
    <t>1.1-1-862</t>
  </si>
  <si>
    <t>Плиты акустические, марка "Армстронг", тип "Baikal"</t>
  </si>
  <si>
    <t>ТСН-2001.1. Доп. 1-42. Р. 1, о. 1, поз. 862</t>
  </si>
  <si>
    <t>8</t>
  </si>
  <si>
    <t>3.6-6-10</t>
  </si>
  <si>
    <t>Армирование подстилающих слоев и набетонок (армирование стяжки)</t>
  </si>
  <si>
    <t>1 Т</t>
  </si>
  <si>
    <t>ТСН-2001.3. Доп. 1-42. Сб. 6, т. 6, поз. 10</t>
  </si>
  <si>
    <t>ТСН-2001.3-6. 6-1...6-13</t>
  </si>
  <si>
    <t>ТСН-2001.3-6-1</t>
  </si>
  <si>
    <t>8,1</t>
  </si>
  <si>
    <t>101-9086-1</t>
  </si>
  <si>
    <t>Сетка сварная с ячейкой № 10 из арматурной стали АI диаметром 6 мм</t>
  </si>
  <si>
    <t>ФССЦ, сб.101,поз.9086-1</t>
  </si>
  <si>
    <t>ТСН-2001.3-11. 11-4...11-11 (доп. 11)</t>
  </si>
  <si>
    <t>ТСН-2001.3-11-2</t>
  </si>
  <si>
    <t>9</t>
  </si>
  <si>
    <t>3.11-10-1</t>
  </si>
  <si>
    <t>Устройство стяжек цементных толщиной 20 мм</t>
  </si>
  <si>
    <t>100 м2 стяжки</t>
  </si>
  <si>
    <t>ТСН-2001.3. Доп. 1-42. Сб. 11, т. 10, поз. 1</t>
  </si>
  <si>
    <t>9,1</t>
  </si>
  <si>
    <t>1.3-2-5</t>
  </si>
  <si>
    <t>Растворы цементные, марка 100</t>
  </si>
  <si>
    <t>м3</t>
  </si>
  <si>
    <t>ТСН-2001.1. Доп. 1-42. Р. 3, о. 2, поз. 5</t>
  </si>
  <si>
    <t>10</t>
  </si>
  <si>
    <t>3.11-10-2</t>
  </si>
  <si>
    <t>Добавляется или исключается на каждые 5 мм изменения толщины стяжки к позиции 3.11-10-1 (Добавлено 30мм)</t>
  </si>
  <si>
    <t>ТСН-2001.3. Доп. 1-42. Сб. 11, т. 10, поз. 2</t>
  </si>
  <si>
    <t>)*6</t>
  </si>
  <si>
    <t>)*1,25)*6</t>
  </si>
  <si>
    <t>)*1,15)*6</t>
  </si>
  <si>
    <t>10,1</t>
  </si>
  <si>
    <t>11</t>
  </si>
  <si>
    <t>3.11-10-11</t>
  </si>
  <si>
    <t>Устройство самовыравнивающихся стяжек из специализированных сухих смесей толщиной 5 мм</t>
  </si>
  <si>
    <t>ТСН-2001.3 Доп. 47, Сб. 11, т. 10, поз. 11</t>
  </si>
  <si>
    <t>11,1</t>
  </si>
  <si>
    <t>1.1-1-3107</t>
  </si>
  <si>
    <t>Грунтовка на основе стиролакрилатной дисперсии, глубокопроникающая для пористых оснований и стяжки пола, марка "Бирсс Грунт-П"</t>
  </si>
  <si>
    <t>ТСН-2001.1. Доп. 1-42. Р. 1, о. 1, поз. 3107</t>
  </si>
  <si>
    <t>11,2</t>
  </si>
  <si>
    <t>1.3-2-179</t>
  </si>
  <si>
    <t>Смеси сухие цементные с минеральными заполнителями и полимерными модификаторами, самовыравнивающиеся, марка 400 (Ceresit CN76)</t>
  </si>
  <si>
    <t>ТСН-2001.1. Доп. 1-42. Р. 3, о. 2, поз. 179</t>
  </si>
  <si>
    <t>12</t>
  </si>
  <si>
    <t>3.11-10-12</t>
  </si>
  <si>
    <t>Добавляется или исключается на каждый 1 мм изменения толщины стяжки к позиции 3.11-10-11 (Добавлено 10мм)</t>
  </si>
  <si>
    <t>ТСН-2001.3 Доп. 47, Сб. 11, т. 10, поз. 12</t>
  </si>
  <si>
    <t>12,1</t>
  </si>
  <si>
    <t>13</t>
  </si>
  <si>
    <t>3.11-26-2</t>
  </si>
  <si>
    <t>Устройство покрытий из рулонного линолеума на вспененной основе</t>
  </si>
  <si>
    <t>100 м2 покрытия</t>
  </si>
  <si>
    <t>ТСН-2001.3. Доп. 1-42. Сб. 11, т. 26, поз. 2</t>
  </si>
  <si>
    <t>ТСН-2001.3-11. 11-13...11-35 (доп. 11)</t>
  </si>
  <si>
    <t>ТСН-2001.3-11-4</t>
  </si>
  <si>
    <t>13,1</t>
  </si>
  <si>
    <t>1.1-1-389</t>
  </si>
  <si>
    <t>Клей дисперсный, "АДМ-К"</t>
  </si>
  <si>
    <t>ТСН-2001.1. Доп. 1-42. Р. 1, о. 1, поз. 389</t>
  </si>
  <si>
    <t>13,2</t>
  </si>
  <si>
    <t>1.1-1-554</t>
  </si>
  <si>
    <t>Линолеум поливинилхлоридный с печатным рисунком теплозвукоизолирующий, на стеклохолсте, толщина 3,3 мм</t>
  </si>
  <si>
    <t>ТСН-2001.1. Доп. 1-42. Р. 1, о. 1, поз. 554</t>
  </si>
  <si>
    <t>14</t>
  </si>
  <si>
    <t>3.11-29-2</t>
  </si>
  <si>
    <t>Устройство плинтусов поливинилхлоридных на мастике КН-3</t>
  </si>
  <si>
    <t>100 м плинтусов</t>
  </si>
  <si>
    <t>ТСН-2001.3. Доп. 1-42. Сб. 11, т. 29, поз. 2</t>
  </si>
  <si>
    <t>14,1</t>
  </si>
  <si>
    <t>1.1-1-395</t>
  </si>
  <si>
    <t>Клей мастика, КН-3</t>
  </si>
  <si>
    <t>ТСН-2001.1. Доп. 1-42. Р. 1, о. 1, поз. 395</t>
  </si>
  <si>
    <t>14,2</t>
  </si>
  <si>
    <t>1.1-1-289</t>
  </si>
  <si>
    <t>Плинтусы поливинилхлоридные электротехнические совмещенные</t>
  </si>
  <si>
    <t>ТСН-2001.1. Доп. 1-42. Р. 1, о. 1, поз. 289</t>
  </si>
  <si>
    <t>15</t>
  </si>
  <si>
    <t>Обработка поверхностей (пол) грунтовкой глубокого проникновения внутри помещения</t>
  </si>
  <si>
    <t>15,1</t>
  </si>
  <si>
    <t>16</t>
  </si>
  <si>
    <t>3.11-36-1</t>
  </si>
  <si>
    <t>Устройство полов из керамических крупноразмерных плиток типа керамогранит на клее из сухих смесей толщиной слоя 4 мм с затиркой швов</t>
  </si>
  <si>
    <t>100 м2 пола</t>
  </si>
  <si>
    <t>ТСН-2001.3. Доп. 1-42. Сб. 11, т. 36, поз. 1</t>
  </si>
  <si>
    <t>ТСН-2001.3-11. 11-36</t>
  </si>
  <si>
    <t>ТСН-2001.3-11-5</t>
  </si>
  <si>
    <t>16,1</t>
  </si>
  <si>
    <t>1.3-2-138</t>
  </si>
  <si>
    <t>Смеси сухие для заполнения швов между плитками, цветные</t>
  </si>
  <si>
    <t>ТСН-2001.1. Доп. 1-42. Р. 3, о. 2, поз. 138</t>
  </si>
  <si>
    <t>16,2</t>
  </si>
  <si>
    <t>1.3-2-35</t>
  </si>
  <si>
    <t>Смеси сухие цементно-песчаные, клеевые для плиточных работ, В12,5 (М150), F50, крупность заполнителя не более 0,5 мм</t>
  </si>
  <si>
    <t>ТСН-2001.1. Доп. 1-42. Р. 3, о. 2, поз. 35</t>
  </si>
  <si>
    <t>16,3</t>
  </si>
  <si>
    <t>1.1-1-3228</t>
  </si>
  <si>
    <t>Плиты керамические, типа керамогранит, неполированные, размер 600х600х10 мм, артикул цвета ST 043; 072; 093</t>
  </si>
  <si>
    <t>ТСН-2001.1. Доп. 1-42. Р. 1, о. 1, поз. 3228</t>
  </si>
  <si>
    <t>17</t>
  </si>
  <si>
    <t>17,1</t>
  </si>
  <si>
    <t>18</t>
  </si>
  <si>
    <t>3.15-149-1</t>
  </si>
  <si>
    <t>Гладкая облицовка стен (без карнизных, плинтусных и угловых плиток) на клее из сухих смесей по камню и бетону</t>
  </si>
  <si>
    <t>ТСН-2001.3. Доп. 1-42. Сб. 15, т. 149, поз. 1</t>
  </si>
  <si>
    <t>ТСН-2001.3-15. 15-149, 15-150</t>
  </si>
  <si>
    <t>ТСН-2001.3-15-18</t>
  </si>
  <si>
    <t>18,1</t>
  </si>
  <si>
    <t>18,2</t>
  </si>
  <si>
    <t>1.3-2-36</t>
  </si>
  <si>
    <t>Смеси сухие цементно-песчаные, клеевые, высокоадгезионные для плиточных работ, В12,5 (М150), F50, крупность заполнителя не более 0,5 мм</t>
  </si>
  <si>
    <t>ТСН-2001.1. Доп. 1-42. Р. 3, о. 2, поз. 36</t>
  </si>
  <si>
    <t>18,3</t>
  </si>
  <si>
    <t>1.1-1-836</t>
  </si>
  <si>
    <t>Плитки керамические глазурованные для внутренней облицовки рельефные, белые и цветные (однотонные), квадратные и прямоугольные, сорт I</t>
  </si>
  <si>
    <t>ТСН-2001.1. Доп. 1-42. Р. 1, о. 1, поз. 836</t>
  </si>
  <si>
    <t>19</t>
  </si>
  <si>
    <t>3.10-92-1</t>
  </si>
  <si>
    <t>Устройство перегородок из гипсокартонных листов (ГКЛ) с двойным металлическим каркасом и обшивкой с двух сторон по два слоя с каждой стороны перегородки по системе типа "КНАУФ" (С 115.2), глухих</t>
  </si>
  <si>
    <t>100 м2 перегородки</t>
  </si>
  <si>
    <t>ТСН-2001.3 Доп. 47, Сб. 10, т. 92, поз. 1</t>
  </si>
  <si>
    <t>ТСН-2001.3-10. 10-88…10-121 (доп. 29)</t>
  </si>
  <si>
    <t>ТСН-2001.3-10-13</t>
  </si>
  <si>
    <t>19,1</t>
  </si>
  <si>
    <t>2245214000</t>
  </si>
  <si>
    <t>Лента полимерная микропористая уплотнительная самоклеющаяся, типа "Дихтунгсбанд"</t>
  </si>
  <si>
    <t>19,2</t>
  </si>
  <si>
    <t>1.7-4-29</t>
  </si>
  <si>
    <t>Профили направляющих для монтажа гипсовых перегородок и подвесных потолков, стальные, оцинкованные, марка ПН, сечение 100х40х0,6 мм</t>
  </si>
  <si>
    <t>ТСН-2001.1. Доп. 1-42. Р. 7, о. 4, поз. 29</t>
  </si>
  <si>
    <t>19,3</t>
  </si>
  <si>
    <t>1.7-4-33</t>
  </si>
  <si>
    <t>Профили стоек для монтажа гипсовых перегородок и подвесных потолков, стальные, оцинкованные, марка ПС, сечение 100х50х0,6 мм</t>
  </si>
  <si>
    <t>ТСН-2001.1. Доп. 1-42. Р. 7, о. 4, поз. 33</t>
  </si>
  <si>
    <t>19,4</t>
  </si>
  <si>
    <t>1.1-1-567</t>
  </si>
  <si>
    <t>Листы гипсокартонные, толщина 12-16 мм</t>
  </si>
  <si>
    <t>ТСН-2001.1. Доп. 1-42. Р. 1, о. 1, поз. 567</t>
  </si>
  <si>
    <t>19,5</t>
  </si>
  <si>
    <t>1.1-1-890</t>
  </si>
  <si>
    <t>Плиты минераловатные теплоизоляционные на синтетическом связующем, марка П-100</t>
  </si>
  <si>
    <t>ТСН-2001.1. Доп. 1-42. Р. 1, о. 1, поз. 890</t>
  </si>
  <si>
    <t>20</t>
  </si>
  <si>
    <t>3.9-74-1</t>
  </si>
  <si>
    <t>Установка противопожарных металлических однопольных дверных блоков</t>
  </si>
  <si>
    <t>10 шт.</t>
  </si>
  <si>
    <t>ТСН-2001.3 Доп. 47, Сб. 9, т. 74, поз. 1</t>
  </si>
  <si>
    <t>ТСН-2001.3-9. 9-74 (доп. 22)</t>
  </si>
  <si>
    <t>ТСН-2001.3-9-3</t>
  </si>
  <si>
    <t>20,1</t>
  </si>
  <si>
    <t>1.7-2-261</t>
  </si>
  <si>
    <t>Блоки дверные металлические противопожарные, шлюзовые, остекленные антивандальным стекл., с заполнением минеральной ватой, окрашенные порошковыми красками, ДПМ-01/30 тип ДШМ 21-10, однопольные, размеры 984х2060 мм, с замком, без доводчика</t>
  </si>
  <si>
    <t>шт.</t>
  </si>
  <si>
    <t>ТСН-2001.1. Доп. 1-42. Р. 7, о. 2, поз. 261</t>
  </si>
  <si>
    <t>21</t>
  </si>
  <si>
    <t>3.10-21-1</t>
  </si>
  <si>
    <t>Установка блоков в наружных и внутренних дверных проемах в каменных стенах площадь проема до 3 м2</t>
  </si>
  <si>
    <t>100 м2 проемов</t>
  </si>
  <si>
    <t>ТСН-2001.3 Доп. 47, Сб. 10, т. 21, поз. 1</t>
  </si>
  <si>
    <t>ТСН-2001.3-10. 10-1...10-69</t>
  </si>
  <si>
    <t>ТСН-2001.3-10-1</t>
  </si>
  <si>
    <t>21,1</t>
  </si>
  <si>
    <t>1.8-1-8</t>
  </si>
  <si>
    <t>Замок врезной ЗВ4-14</t>
  </si>
  <si>
    <t>ТСН-2001.1. Доп. 1-42. Р. 8, о. 1, поз. 8</t>
  </si>
  <si>
    <t>21,2</t>
  </si>
  <si>
    <t>1.9-7-347</t>
  </si>
  <si>
    <t>ТСН-2001.1 Доп. 47, Р. 9, о. 7, поз. 347</t>
  </si>
  <si>
    <t>22</t>
  </si>
  <si>
    <t>3.10-34-1</t>
  </si>
  <si>
    <t>Установка и крепление наличников</t>
  </si>
  <si>
    <t>100 м коробок</t>
  </si>
  <si>
    <t>ТСН-2001.3. Доп. 1-42. Сб. 10, т. 34, поз. 1</t>
  </si>
  <si>
    <t>22,1</t>
  </si>
  <si>
    <t>1.9-12-37</t>
  </si>
  <si>
    <t>Наличники хвойных пород, окрашенные, сечение 34х13 мм</t>
  </si>
  <si>
    <t>ТСН-2001.1. Доп. 1-42. Р. 9, о. 12, поз. 37</t>
  </si>
  <si>
    <t>23</t>
  </si>
  <si>
    <t>3.10-82-1</t>
  </si>
  <si>
    <t>Установка дверного доводчика к металлическим дверям</t>
  </si>
  <si>
    <t>1  ШТ.</t>
  </si>
  <si>
    <t>ТСН-2001.3 Доп. 44, Сб. 10, т. 82, поз. 1</t>
  </si>
  <si>
    <t>ТСН-2001.3-10. 10-82</t>
  </si>
  <si>
    <t>ТСН-2001.3-10-7</t>
  </si>
  <si>
    <t>23,1</t>
  </si>
  <si>
    <t>1.8-1-83</t>
  </si>
  <si>
    <t>Доводчик дверной типа «ДОРМА» TS/83, масса двери до 150 кг</t>
  </si>
  <si>
    <t>ТСН-2001.1 Доп. 44, Р. 8, о. 1, поз. 83</t>
  </si>
  <si>
    <t>24</t>
  </si>
  <si>
    <t>3.10-79-1</t>
  </si>
  <si>
    <t>Установка врезных дверных замков с ручками в готовые гнезда</t>
  </si>
  <si>
    <t>10 компл.</t>
  </si>
  <si>
    <t>ТСН-2001.3. Доп. 1-42. Сб. 10, т. 79, поз. 1</t>
  </si>
  <si>
    <t>ТСН-2001.3-10. 10-79...10-81</t>
  </si>
  <si>
    <t>ТСН-2001.3-10-6</t>
  </si>
  <si>
    <t>24,1</t>
  </si>
  <si>
    <t>25</t>
  </si>
  <si>
    <t>3.15-143-5</t>
  </si>
  <si>
    <t>Облицовка  откосов  дверных проемов плитами (установка доборов)</t>
  </si>
  <si>
    <t>100 м2 откосов</t>
  </si>
  <si>
    <t>ТСН-2001.3. Доп. 1-42. Сб. 15, т. 143, поз. 5</t>
  </si>
  <si>
    <t>ТСН-2001.3-15. 15-142, 15-143</t>
  </si>
  <si>
    <t>ТСН-2001.3-15-14</t>
  </si>
  <si>
    <t>25,1</t>
  </si>
  <si>
    <t>1.9-12-124</t>
  </si>
  <si>
    <t>Элемент доборный (добор) из МДФ, отделка из антивандального эко-шпона с защитным лаком, сечение 200х8 мм</t>
  </si>
  <si>
    <t>ТСН-2001.1 Доп. 46, Р. 9, о. 12, поз. 124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</si>
  <si>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</si>
  <si>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</si>
  <si>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</si>
  <si>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</si>
  <si>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</si>
  <si>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</si>
  <si>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</si>
  <si>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</si>
  <si>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</si>
  <si>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</si>
  <si>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</si>
  <si>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</si>
  <si>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</si>
  <si>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</si>
  <si>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</si>
  <si>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</si>
  <si>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</si>
  <si>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</si>
  <si>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</si>
  <si>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</si>
  <si>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</si>
  <si>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</si>
  <si>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</si>
  <si>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</si>
  <si>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</si>
  <si>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</si>
  <si>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</si>
  <si>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</si>
  <si>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</si>
  <si>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</si>
  <si>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</si>
  <si>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</si>
  <si>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</si>
  <si>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</si>
  <si>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</si>
  <si>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</si>
  <si>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</si>
  <si>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</si>
  <si>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</si>
  <si>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</si>
  <si>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</si>
  <si>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</si>
  <si>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</si>
  <si>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</si>
  <si>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</si>
  <si>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</si>
  <si>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</si>
  <si>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</si>
  <si>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</si>
  <si>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</si>
  <si>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</si>
  <si>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</si>
  <si>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</t>
  </si>
  <si>
    <t>Итого</t>
  </si>
  <si>
    <t>ндс</t>
  </si>
  <si>
    <t>НДС 20%</t>
  </si>
  <si>
    <t>ит с ндс</t>
  </si>
  <si>
    <t>ИТОГО с НДС</t>
  </si>
  <si>
    <t>Уровень цен</t>
  </si>
  <si>
    <t>Сборник индексов</t>
  </si>
  <si>
    <t>ТСН-2001 МГЭ  ремонт</t>
  </si>
  <si>
    <t>140</t>
  </si>
  <si>
    <t>_OBSM_</t>
  </si>
  <si>
    <t>9999990008</t>
  </si>
  <si>
    <t>Трудозатраты рабочих</t>
  </si>
  <si>
    <t>чел.-ч.</t>
  </si>
  <si>
    <t>2.1-18-7</t>
  </si>
  <si>
    <t>ТСН-2001.2. Доп. 47. п.1-18-7 (183001)</t>
  </si>
  <si>
    <t>Автомобили грузовые бортовые, грузоподъемность до 5 т</t>
  </si>
  <si>
    <t>маш.-ч.</t>
  </si>
  <si>
    <t>2.1-30-103</t>
  </si>
  <si>
    <t>ТСН-2001.2. Доп. 46. п.1-30-103 (304104)</t>
  </si>
  <si>
    <t>Перфораторы электрические, мощность до 1,2 кВт</t>
  </si>
  <si>
    <t>2.1-30-31</t>
  </si>
  <si>
    <t>ТСН-2001.2. Доп. 1-42, п. 1-30-31 (306501)</t>
  </si>
  <si>
    <t>Ножницы электрические</t>
  </si>
  <si>
    <t>2.1-30-56</t>
  </si>
  <si>
    <t>ТСН-2001.2. Доп. 1-42, п. 1-30-56 (309101)</t>
  </si>
  <si>
    <t>Шуруповерты</t>
  </si>
  <si>
    <t>2.1-3-35</t>
  </si>
  <si>
    <t>ТСН-2001.2. Доп. 1-42, п. 1-3-35 (032006)</t>
  </si>
  <si>
    <t>Краны на автомобильном ходу, грузоподъемность до 10 т</t>
  </si>
  <si>
    <t>1.1-1-3257</t>
  </si>
  <si>
    <t>ТСН-2001.1. Доп. 1-42. Р. 1, о. 1, поз. 3257</t>
  </si>
  <si>
    <t>Грунтовка водно-дисперсионная высококонцентрированная глубокопроникающая универсальная</t>
  </si>
  <si>
    <t>1.1-1-3716</t>
  </si>
  <si>
    <t>ТСН-2001.1. Доп. 1-42. Р. 1, о. 1, поз. 3716</t>
  </si>
  <si>
    <t>Герметик акриловый универсальный, типа "Квадро", белый, 300 мл</t>
  </si>
  <si>
    <t>1.1-1-3718</t>
  </si>
  <si>
    <t>ТСН-2001.1. Доп. 1-42. Р. 1, о. 1, поз. 3718</t>
  </si>
  <si>
    <t>Лента полимерная разделительная самоклеящаяся, ширина 50 мм</t>
  </si>
  <si>
    <t>1.1-1-3723</t>
  </si>
  <si>
    <t>ТСН-2001.1. Доп. 1-42. Р. 1, о. 1, поз. 3723</t>
  </si>
  <si>
    <t>Шурупы-саморезы прокалывающие с головкой специальной формы, размеры 3,5х25 мм</t>
  </si>
  <si>
    <t>100 шт.</t>
  </si>
  <si>
    <t>1.1-1-3726</t>
  </si>
  <si>
    <t>ТСН-2001.1. Доп. 1-42. Р. 1, о. 1, поз. 3726</t>
  </si>
  <si>
    <t>Дюбель "К" пластиковый с кромкой и стальным шурупом, диаметр 6 мм, длина 35 мм</t>
  </si>
  <si>
    <t>1.3-2-201</t>
  </si>
  <si>
    <t>ТСН-2001.1. Доп. 1-42. Р. 3, о. 2, поз. 201</t>
  </si>
  <si>
    <t>Смеси сухие шпатлевочные, гипсовые, высокопрочные, "Унифлот", с полимерными добавками для внутренних работ, В5 (М75), крупность заполнителя не более 0,15 мм</t>
  </si>
  <si>
    <t>1.3-2-202</t>
  </si>
  <si>
    <t>ТСН-2001.1 Доп. 48, Р. 3, о. 2, поз. 202</t>
  </si>
  <si>
    <t>Смесь сухая для наружных работ мелкозернистая, гипсовая, клеевая, для приклеивания ГКЛ и минераловатных плит, ручного нанесения, прочность на сжатие 2,0 МПа, прочность сцепления с основанием 0,3 МПа, прочность на изгиб 1,0 МПа</t>
  </si>
  <si>
    <t>1.3-2-49</t>
  </si>
  <si>
    <t>ТСН-2001.1. Доп. 1-42. Р. 3, о. 2, поз. 49</t>
  </si>
  <si>
    <t>Смеси сухие шпатлевочные, гипсовые, универсальные, "Фуген", с полимерными добавками В3,5 (М50), крупность заполнителя не более 0,15 мм</t>
  </si>
  <si>
    <t>1.7-4-24</t>
  </si>
  <si>
    <t>ТСН-2001.1. Доп. 1-42. Р. 7, о. 4, поз. 24</t>
  </si>
  <si>
    <t>Профили металлические для монтажа гипсовых перегородок и подвесных потолков стальные, оцинкованные, марка ПУ-2, профиль угловой, сечение 31х31х0,55 мм</t>
  </si>
  <si>
    <t>2.1-30-90</t>
  </si>
  <si>
    <t>ТСН-2001.2. Доп. 46. п.1-30-90 (302501)</t>
  </si>
  <si>
    <t>Дрель-миксеры, 150-650 об/мин</t>
  </si>
  <si>
    <t>9999990007</t>
  </si>
  <si>
    <t>Стоимость прочих машин (ЭСН)</t>
  </si>
  <si>
    <t>руб.</t>
  </si>
  <si>
    <t>1.1-1-118</t>
  </si>
  <si>
    <t>ТСН-2001.1. Доп. 1-42. Р. 1, о. 1, поз. 118</t>
  </si>
  <si>
    <t>Вода</t>
  </si>
  <si>
    <t>1.1-1-1463</t>
  </si>
  <si>
    <t>ТСН-2001.1. Доп. 1-42. Р. 1, о. 1, поз. 1463</t>
  </si>
  <si>
    <t>Шкурка шлифовальная на бумажной основе</t>
  </si>
  <si>
    <t>1.1-1-1710</t>
  </si>
  <si>
    <t>ТСН-2001.1. Доп. 1-42. Р. 1, о. 1, поз. 1710</t>
  </si>
  <si>
    <t>Сетка "Строби" стекловолокнистая, штукатурная с ячейкой 5х5 мм, стандартная</t>
  </si>
  <si>
    <t>1.1-1-385</t>
  </si>
  <si>
    <t>ТСН-2001.1. Доп. 1-42. Р. 1, о. 1, поз. 385</t>
  </si>
  <si>
    <t>Клей "Амил" (для наклейки обоев)</t>
  </si>
  <si>
    <t>9999990006</t>
  </si>
  <si>
    <t>Стоимость прочих материалов (ЭСН)</t>
  </si>
  <si>
    <t>2.1-13-21</t>
  </si>
  <si>
    <t>ТСН-2001.2. Доп. 1-42, п. 1-13-21 (138501)</t>
  </si>
  <si>
    <t>Печи электрические для сушки сварочных материалов с регулированием температуры в пределах 80-500С</t>
  </si>
  <si>
    <t>2.1-30-46</t>
  </si>
  <si>
    <t>ТСН-2001.2. Доп. 1-42, п. 1-30-46 (308001)</t>
  </si>
  <si>
    <t>Преобразователи частоты тока до 500 А</t>
  </si>
  <si>
    <t>2.1-4-30</t>
  </si>
  <si>
    <t>ТСН-2001.2. Доп. 1-42, п. 1-4-30 (042901)</t>
  </si>
  <si>
    <t>Лебедки электрические, грузоподъемность до 0,5 т</t>
  </si>
  <si>
    <t>2.1-4-45</t>
  </si>
  <si>
    <t>ТСН-2001.2. Доп. 1-42, п. 1-4-45 (043403)</t>
  </si>
  <si>
    <t>Домкраты гидравлические, грузоподъемность до 100 т</t>
  </si>
  <si>
    <t>1.1-1-1566</t>
  </si>
  <si>
    <t>ТСН-2001.1. Доп. 1-42. Р. 1, о. 1, поз. 1566</t>
  </si>
  <si>
    <t>Электроды, тип Э-42, 46, 50, диаметр 4 - 6 мм</t>
  </si>
  <si>
    <t>1.6-1-271</t>
  </si>
  <si>
    <t>ТСН-2001.1. Доп. 1-42. Р. 6, о. 1, поз. 271</t>
  </si>
  <si>
    <t>Отдельные конструктивные элементы с преобладанием горячекатаных профилей, средняя масса сборочной единицы от 0,11 до 0,5 т</t>
  </si>
  <si>
    <t>1.1-1-57</t>
  </si>
  <si>
    <t>ТСН-2001.1. Доп. 1-42. Р. 1, о. 1, поз. 57</t>
  </si>
  <si>
    <t>Болты строительные черные с гайками и шайбами (10х100 мм)</t>
  </si>
  <si>
    <t>2.1-6-51</t>
  </si>
  <si>
    <t>ТСН-2001.2. Доп. 1-42, п. 1-6-51 (069401)</t>
  </si>
  <si>
    <t>Вибраторы поверхностные</t>
  </si>
  <si>
    <t>2.1-14-13</t>
  </si>
  <si>
    <t>ТСН-2001.2. Доп. 1-42, п. 1-14-13 (148501)</t>
  </si>
  <si>
    <t>Пылесосы</t>
  </si>
  <si>
    <t>2.1-4-1</t>
  </si>
  <si>
    <t>ТСН-2001.2. Доп. 1-42, п. 1-4-1 (040101)</t>
  </si>
  <si>
    <t>Погрузчики универсальные на пневмоколесном ходу, грузоподъемность до 1 т</t>
  </si>
  <si>
    <t>1.1-1-2492</t>
  </si>
  <si>
    <t>ТСН-2001.1. Доп. 1-42. Р. 1, о. 1, поз. 2492</t>
  </si>
  <si>
    <t>Пленка полиэтиленовая, толщина 80 мкм</t>
  </si>
  <si>
    <t>2.1-30-6</t>
  </si>
  <si>
    <t>ТСН-2001.2. Доп. 1-42, п. 1-30-6 (303701)</t>
  </si>
  <si>
    <t>Дрели электрические</t>
  </si>
  <si>
    <t>2.1-30-75</t>
  </si>
  <si>
    <t>ТСН-2001.2. Доп. 1-42, п. 1-30-75 (370001)</t>
  </si>
  <si>
    <t>Станки для резки плит</t>
  </si>
  <si>
    <t>1.1-1-2480</t>
  </si>
  <si>
    <t>ТСН-2001.1. Доп. 1-42. Р. 1, о. 1, поз. 2480</t>
  </si>
  <si>
    <t>Грунтовка акриловая на латексной основе, марка "Грундирмиттель"</t>
  </si>
  <si>
    <t>1.1-1-115</t>
  </si>
  <si>
    <t>ТСН-2001.1. Доп. 1-42. Р. 1, о. 1, поз. 115</t>
  </si>
  <si>
    <t>Ветошь</t>
  </si>
  <si>
    <t>1.1-1-181</t>
  </si>
  <si>
    <t>ТСН-2001.1. Доп. 1-42. Р. 1, о. 1, поз. 181</t>
  </si>
  <si>
    <t>Дисперсия поливинилацетатная, гомополимерная, грубодисперсная, пластифицированная, (эмульсия поливинилацетатная), марка ДБ</t>
  </si>
  <si>
    <t>1.1-1-3724</t>
  </si>
  <si>
    <t>ТСН-2001.1. Доп. 1-42. Р. 1, о. 1, поз. 3724</t>
  </si>
  <si>
    <t>Шурупы-саморезы прокалывающие с головкой специальной формы, размеры 3,5х35 мм</t>
  </si>
  <si>
    <t>2.1-30-27</t>
  </si>
  <si>
    <t>ТСН-2001.2. Доп. 1-42, п. 1-30-27 (306101)</t>
  </si>
  <si>
    <t>Пилы дисковые электрические для резки пиломатериалов</t>
  </si>
  <si>
    <t>1.1-1-2470</t>
  </si>
  <si>
    <t>ТСН-2001.1. Доп. 1-42. Р. 1, о. 1, поз. 2470</t>
  </si>
  <si>
    <t>Герметик акриловый, марка "Illbruck"</t>
  </si>
  <si>
    <t>л</t>
  </si>
  <si>
    <t>1.1-1-3571</t>
  </si>
  <si>
    <t>ТСН-2001.1. Доп. 1-42. Р. 1, о. 1, поз. 3571</t>
  </si>
  <si>
    <t>Пена монтажная противопожарная, обеспечивающая акустическую и термическую изоляцию, предел огнестойкости ЕI 60</t>
  </si>
  <si>
    <t>1.1-1-79</t>
  </si>
  <si>
    <t>ТСН-2001.1. Доп. 1-42. Р. 1, о. 1, поз. 79</t>
  </si>
  <si>
    <t>Бруски хвойных пород обрезные, длина 2-6,5 м, сорт III, толщина 50-60 мм</t>
  </si>
  <si>
    <t>1.3-2-6</t>
  </si>
  <si>
    <t>ТСН-2001.1. Доп. 1-42. Р. 3, о. 2, поз. 6</t>
  </si>
  <si>
    <t>Растворы цементные, марка 150</t>
  </si>
  <si>
    <t>1.7-3-122</t>
  </si>
  <si>
    <t>ТСН-2001.1 Доп. 44, Р. 7, о. 3, поз. 122</t>
  </si>
  <si>
    <t>Бур с наконечником из твердого сплава, с хвостовиком SDS-plus, диаметр 10 мм, длина 260 мм</t>
  </si>
  <si>
    <t>1.7-5-155</t>
  </si>
  <si>
    <t>ТСН-2001.1 Доп. 48, Р. 7, о. 5, поз. 155</t>
  </si>
  <si>
    <t>Анкер-шпилька распорный, высокоэффективный, с шестигранной гайкой и шайбой, из оцинкованной стали, для использования в бетоне с трещинами, диаметр 10 мм, длина 110 мм, толщина прикрепляемой детали минимальная/максимальная 30/50 мм</t>
  </si>
  <si>
    <t>2.1-5-63</t>
  </si>
  <si>
    <t>ТСН-2001.2. Доп. 1-42, п. 1-5-63 (059001)</t>
  </si>
  <si>
    <t>Котлы битумоварочные передвижные, емкость до 400 л</t>
  </si>
  <si>
    <t>1.1-1-1043</t>
  </si>
  <si>
    <t>ТСН-2001.1. Доп. 1-42. Р. 1, о. 1, поз. 1043</t>
  </si>
  <si>
    <t>Смола каменноугольная строительная</t>
  </si>
  <si>
    <t>1.1-1-1265</t>
  </si>
  <si>
    <t>ТСН-2001.1. Доп. 1-42. Р. 1, о. 1, поз. 1265</t>
  </si>
  <si>
    <t>Материал рулонный кровельный и гидроизоляционный, толь, марка ТГ-350</t>
  </si>
  <si>
    <t>1.1-1-132</t>
  </si>
  <si>
    <t>ТСН-2001.1. Доп. 1-42. Р. 1, о. 1, поз. 132</t>
  </si>
  <si>
    <t>Гвозди строительные</t>
  </si>
  <si>
    <t>1.1-1-133</t>
  </si>
  <si>
    <t>ТСН-2001.1. Доп. 1-42. Р. 1, о. 1, поз. 133</t>
  </si>
  <si>
    <t>Гвозди толевые</t>
  </si>
  <si>
    <t>1.1-1-146</t>
  </si>
  <si>
    <t>ТСН-2001.1. Доп. 1-42. Р. 1, о. 1, поз. 146</t>
  </si>
  <si>
    <t>Гипсовые вяжущие (гипс) для штукатурных работ</t>
  </si>
  <si>
    <t>1.1-1-226</t>
  </si>
  <si>
    <t>ТСН-2001.1. Доп. 1-42. Р. 1, о. 1, поз. 226</t>
  </si>
  <si>
    <t>Доски хвойных пород, обрезные, длина 2-6,5 м, сорт III, толщина 25-32 мм</t>
  </si>
  <si>
    <t>1.1-1-740</t>
  </si>
  <si>
    <t>ТСН-2001.1. Доп. 1-42. Р. 1, о. 1, поз. 740</t>
  </si>
  <si>
    <t>Пакля пропитанная</t>
  </si>
  <si>
    <t>1.3-2-15</t>
  </si>
  <si>
    <t>ТСН-2001.1. Доп. 1-42. Р. 3, о. 2, поз. 15</t>
  </si>
  <si>
    <t>Раствор известковый, марка 4</t>
  </si>
  <si>
    <t>1.7-5-3</t>
  </si>
  <si>
    <t>ТСН-2001.1. Доп. 1-42. Р. 7, о. 5, поз. 3</t>
  </si>
  <si>
    <t>Ерши (закрепы) строительные</t>
  </si>
  <si>
    <t>2.1-13-14</t>
  </si>
  <si>
    <t>ТСН-2001.2. Доп. 1-42, п. 1-13-14 (136001)</t>
  </si>
  <si>
    <t>Установки для сварки ручной дуговой (постоянного тока)</t>
  </si>
  <si>
    <t>2.1-30-19</t>
  </si>
  <si>
    <t>ТСН-2001.2. Доп. 1-42, п. 1-30-19 (305001)</t>
  </si>
  <si>
    <t>Машины шлифовальные электрические</t>
  </si>
  <si>
    <t>1.1-1-2627</t>
  </si>
  <si>
    <t>ТСН-2001.1. Доп. 1-42. Р. 1, о. 1, поз. 2627</t>
  </si>
  <si>
    <t>Винты самонарезающие 5х40 мм для металла</t>
  </si>
  <si>
    <t>1.1-1-2150</t>
  </si>
  <si>
    <t>ТСН-2001.1. Доп. 1-42. Р. 1, о. 1, поз. 2150</t>
  </si>
  <si>
    <t>Втулки стальные для заклепок фасадных</t>
  </si>
  <si>
    <t>1.1-1-2152</t>
  </si>
  <si>
    <t>ТСН-2001.1. Доп. 1-42. Р. 1, о. 1, поз. 2152</t>
  </si>
  <si>
    <t>Заклепки стальные оцинкованные 4,8х8 мм для временного крепления плит навесного вентилируемого фасада</t>
  </si>
  <si>
    <t>1.1-1-2153</t>
  </si>
  <si>
    <t>ТСН-2001.1. Доп. 1-42. Р. 1, о. 1, поз. 2153</t>
  </si>
  <si>
    <t>Заклепки стальные оцинкованные 4,8х21 мм с окрашенной головкой, фасадные</t>
  </si>
  <si>
    <t>1.7-1-24</t>
  </si>
  <si>
    <t>ТСН-2001.1. Доп. 1-42. Р. 7, о. 1, поз. 24</t>
  </si>
  <si>
    <t>Сливы оконные из оцинкованной стали, окрашенные, для навесных вентилируемых фасадов, толщина 0,5 мм</t>
  </si>
  <si>
    <t>1.7-1-25</t>
  </si>
  <si>
    <t>ТСН-2001.1. Доп. 1-42. Р. 7, о. 1, поз. 25</t>
  </si>
  <si>
    <t>Откосы оконные (верхние) из оцинкованной стали, окрашенные, для навесных вентилируемых фасадов, толщина 0,5 мм</t>
  </si>
  <si>
    <t>1.7-1-33</t>
  </si>
  <si>
    <t>ТСН-2001.1. Доп. 1-42. Р. 7, о. 1, поз. 33</t>
  </si>
  <si>
    <t>Крепители откоса окна из оцинкованной стали, окрашенные, с оснасткой, для навесных вентилируемых фасадов, марка НК-5</t>
  </si>
  <si>
    <t>1.7-1-34</t>
  </si>
  <si>
    <t>ТСН-2001.1. Доп. 1-42. Р. 7, о. 1, поз. 34</t>
  </si>
  <si>
    <t>Профили оцинкованные бокового откоса окна, для навесных вентилируемых фасадов</t>
  </si>
  <si>
    <t>5284521000</t>
  </si>
  <si>
    <t>Профили направляющие ПН (50, 75, 100)</t>
  </si>
  <si>
    <t>Профили стоечные ПС</t>
  </si>
  <si>
    <t>5742130000</t>
  </si>
  <si>
    <t>Листы гипсокартонные (ГКЛ, ГКЛВ, ГКЛО, ГКЛВО)</t>
  </si>
  <si>
    <t>5745121000</t>
  </si>
  <si>
    <t>Смеси сухие гипсовые шпаклевочные</t>
  </si>
  <si>
    <t>2313332000</t>
  </si>
  <si>
    <t>Грунтовка глубокого проникновения</t>
  </si>
  <si>
    <t>2388410000</t>
  </si>
  <si>
    <t>Краски водоэмульсионные поливинилацетатные</t>
  </si>
  <si>
    <t>5744430000</t>
  </si>
  <si>
    <t>Смеси сухие шпатлевочные (Ветонит)</t>
  </si>
  <si>
    <t>5959010000</t>
  </si>
  <si>
    <t>Покрытия (обои) из стекловолокнистых тканей</t>
  </si>
  <si>
    <t>5262120000</t>
  </si>
  <si>
    <t>Стальные конструкции каркасов подвесных потолков</t>
  </si>
  <si>
    <t>Комплектующие к подвесных потолкам типа "армстронг"</t>
  </si>
  <si>
    <t>5767710000</t>
  </si>
  <si>
    <t>Плиты декоративно-акустические</t>
  </si>
  <si>
    <t>5745510000</t>
  </si>
  <si>
    <t>Растворы готовые кладочные тяжелые цементные, марки 150</t>
  </si>
  <si>
    <t>2316215000</t>
  </si>
  <si>
    <t>Грунтовка</t>
  </si>
  <si>
    <t>5745130000</t>
  </si>
  <si>
    <t>Смеси сухие самовыравнивающиеся</t>
  </si>
  <si>
    <t>2385120000</t>
  </si>
  <si>
    <t>Клей дисперсный "АДМ-К"</t>
  </si>
  <si>
    <t>5771040000</t>
  </si>
  <si>
    <t>Линолеум на вспененной основе</t>
  </si>
  <si>
    <t>2513110000</t>
  </si>
  <si>
    <t>Мастика клеящая резиновая КН-3</t>
  </si>
  <si>
    <t>5772112000</t>
  </si>
  <si>
    <t>Плинтусы ПВХ</t>
  </si>
  <si>
    <t>5745150000</t>
  </si>
  <si>
    <t>Смеси сухие для затирки швов</t>
  </si>
  <si>
    <t>5745170000</t>
  </si>
  <si>
    <t>Смеси сухие клеевые для плиточных работ</t>
  </si>
  <si>
    <t>5752421000</t>
  </si>
  <si>
    <t>Плитки керамические типа "керамогранит"</t>
  </si>
  <si>
    <t>Смеси сухие декоративные фуговочные</t>
  </si>
  <si>
    <t>Смеси сухие (клеи) для плиточных работ</t>
  </si>
  <si>
    <t>5752100000</t>
  </si>
  <si>
    <t>Плитки рядовые</t>
  </si>
  <si>
    <t>Профили стоечные ПС (50, 75, 100)</t>
  </si>
  <si>
    <t>5762900000</t>
  </si>
  <si>
    <t>Материал теплоизоляционный из минеральных волокон</t>
  </si>
  <si>
    <t>5262178000</t>
  </si>
  <si>
    <t>Блоки дверные металлические противопожарные</t>
  </si>
  <si>
    <t>4980000000</t>
  </si>
  <si>
    <t>Скобяные изделия</t>
  </si>
  <si>
    <t>5361110000</t>
  </si>
  <si>
    <t>Блоки дверные</t>
  </si>
  <si>
    <t>5361720000</t>
  </si>
  <si>
    <t>Наличники</t>
  </si>
  <si>
    <t>4985110000</t>
  </si>
  <si>
    <t>Доводчик дверной (4987110000)</t>
  </si>
  <si>
    <t>4981150000</t>
  </si>
  <si>
    <t>Замок врезной с ручками</t>
  </si>
  <si>
    <t>5789520000</t>
  </si>
  <si>
    <t>Плиты облицовочные "Краспан"</t>
  </si>
  <si>
    <t>Блок дверной деревянный межкомнатный, однопольный, распашной, глухой, без порога, брус из клеёной древесины или массива сосны, сплошное заполнение полотна панелями МДФ, отделка из антивандального эко-шпона с защитным лаком, без запирающих устройств, размер полотна 2000х900х36 мм, сечение бруса коробки 70х32 мм</t>
  </si>
  <si>
    <t>(наименование стройки и/или объекта)</t>
  </si>
  <si>
    <t>(наименование работ и затрат)</t>
  </si>
  <si>
    <t>Сметная стоимость</t>
  </si>
  <si>
    <t>Работы по монтажу оборудования</t>
  </si>
  <si>
    <t>Оборудование</t>
  </si>
  <si>
    <t>Прочие работы и затраты</t>
  </si>
  <si>
    <t>Средства на оплату труда</t>
  </si>
  <si>
    <t>Затраты труда</t>
  </si>
  <si>
    <t xml:space="preserve">Кроме того: 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</si>
  <si>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</si>
  <si>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</si>
  <si>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</si>
  <si>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</si>
  <si>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</si>
  <si>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 руб.</t>
  </si>
  <si>
    <t>Попра-вочные коэффи-
циенты</t>
  </si>
  <si>
    <t>Коэффи-циенты зимних удорожа-ний</t>
  </si>
  <si>
    <t>Коэффици-енты (индексы) пересчета</t>
  </si>
  <si>
    <t>ВСЕГО затрат, руб.</t>
  </si>
  <si>
    <t>Справочно</t>
  </si>
  <si>
    <t>ЗТР, всего чел.-ч.</t>
  </si>
  <si>
    <t>Ст-ть ед. с начислен.</t>
  </si>
  <si>
    <t>Форма № 4а</t>
  </si>
  <si>
    <t>Составлен(а) по ТСН-2001 с учетом Дополнения №: 48</t>
  </si>
  <si>
    <t>№ и период сборника коэффициентов (индексов) пересчета: ТСН-2001 МГЭ  ремонт №140 май 2018 года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</si>
  <si>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</si>
  <si>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</si>
  <si>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</si>
  <si>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</si>
  <si>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</si>
  <si>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</si>
  <si>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</si>
  <si>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</si>
  <si>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</si>
  <si>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</si>
  <si>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>Всего по позиции:</t>
  </si>
  <si>
    <t>к нр )*6</t>
  </si>
  <si>
    <t xml:space="preserve">   Итого по ТСН-2001.16</t>
  </si>
  <si>
    <t xml:space="preserve">   Итого возвратных сумм</t>
  </si>
  <si>
    <t xml:space="preserve">  руб.</t>
  </si>
  <si>
    <t xml:space="preserve">Составил   </t>
  </si>
  <si>
    <t>(должность, подпись, инициалы, фамилия)</t>
  </si>
  <si>
    <t xml:space="preserve">Проверил   </t>
  </si>
  <si>
    <t>Заказчик:</t>
  </si>
  <si>
    <t>Подрядчик:</t>
  </si>
  <si>
    <t xml:space="preserve">АКТ №_________ ПРИЁМА РАБОТ за _________________________ 201__ </t>
  </si>
  <si>
    <t>Объект:</t>
  </si>
  <si>
    <t>Наименование:</t>
  </si>
  <si>
    <t>(наименование работ и затрат, наименование объекта)</t>
  </si>
  <si>
    <t xml:space="preserve">Сдал   </t>
  </si>
  <si>
    <t xml:space="preserve">Принял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</si>
</sst>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-\ #,##0.00"/>
    <numFmt numFmtId="165" formatCode="#,##0.00####;[Red]\-\ #,##0.00####"/>
  </numFmts>
  <fonts count="18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/>
    <xf numFmtId="0" fontId="11" fillId="0" borderId="1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164" fontId="11" fillId="0" borderId="0" xfId="0" applyNumberFormat="1" applyFont="1"/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164" fontId="16" fillId="0" borderId="0" xfId="0" applyNumberFormat="1" applyFont="1" applyAlignment="1">
      <alignment horizontal="right"/>
    </xf>
    <xf numFmtId="0" fontId="11" fillId="0" borderId="0" xfId="0" quotePrefix="1" applyFont="1" applyAlignment="1">
      <alignment horizontal="right" wrapText="1"/>
    </xf>
    <xf numFmtId="164" fontId="0" fillId="0" borderId="0" xfId="0" applyNumberFormat="1"/>
    <xf numFmtId="164" fontId="11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right" wrapText="1"/>
    </xf>
    <xf numFmtId="0" fontId="11" fillId="0" borderId="6" xfId="0" applyFont="1" applyBorder="1" applyAlignment="1">
      <alignment horizontal="right"/>
    </xf>
    <xf numFmtId="165" fontId="11" fillId="0" borderId="6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/>
    </xf>
    <xf numFmtId="0" fontId="0" fillId="0" borderId="7" xfId="0" applyBorder="1"/>
    <xf numFmtId="0" fontId="15" fillId="0" borderId="7" xfId="0" applyFont="1" applyBorder="1"/>
    <xf numFmtId="164" fontId="15" fillId="0" borderId="7" xfId="0" applyNumberFormat="1" applyFont="1" applyBorder="1" applyAlignment="1">
      <alignment horizontal="right"/>
    </xf>
    <xf numFmtId="164" fontId="15" fillId="0" borderId="7" xfId="0" applyNumberFormat="1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 vertical="center"/>
    </xf>
    <xf numFmtId="0" fontId="11" fillId="0" borderId="1" xfId="0" applyFont="1" applyBorder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2"/>
  <sheetViews>
    <sheetView tabSelected="1" topLeftCell="A353" zoomScaleNormal="100" workbookViewId="0"/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6" width="11.7109375" customWidth="1"/>
    <col min="7" max="7" width="12.7109375" customWidth="1"/>
    <col min="8" max="8" width="10.7109375" customWidth="1"/>
    <col min="9" max="11" width="12.7109375" customWidth="1"/>
    <col min="15" max="42" width="0" hidden="1" customWidth="1"/>
  </cols>
  <sheetData>
    <row r="1" spans="1:11" x14ac:dyDescent="0.2">
      <c r="A1" s="9" t="str">
        <f>Source!B1</f>
        <v>Smeta.RU Flash  (495) 974-1589</v>
      </c>
    </row>
    <row r="2" spans="1:11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 t="s">
        <v>672</v>
      </c>
    </row>
    <row r="3" spans="1:11" ht="15.75" x14ac:dyDescent="0.25">
      <c r="A3" s="11" t="str">
        <f>IF(Source!G12&lt;&gt;"Новый объект", Source!G12, "")</f>
        <v>Отделка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">
      <c r="A4" s="12" t="s">
        <v>650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4.25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x14ac:dyDescent="0.25">
      <c r="A6" s="11" t="str">
        <f>CONCATENATE( "ЛОКАЛЬНАЯ СМЕТА № ",IF(Source!F12&lt;&gt;"Новый объект", Source!F12, ""))</f>
        <v xml:space="preserve">ЛОКАЛЬНАЯ СМЕТА № 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4.25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">
      <c r="A9" s="15" t="s">
        <v>651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4.25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x14ac:dyDescent="0.2">
      <c r="A11" s="17" t="str">
        <f>CONCATENATE( "Основание: чертежи № ", Source!J12)</f>
        <v xml:space="preserve">Основание: чертежи № 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4.25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25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x14ac:dyDescent="0.25">
      <c r="A14" s="10"/>
      <c r="B14" s="10"/>
      <c r="C14" s="10"/>
      <c r="D14" s="10"/>
      <c r="E14" s="10"/>
      <c r="F14" s="18" t="s">
        <v>652</v>
      </c>
      <c r="G14" s="18"/>
      <c r="H14" s="18"/>
      <c r="I14" s="45">
        <f>(Source!F151)</f>
        <v>3722525.16</v>
      </c>
      <c r="J14" s="19"/>
      <c r="K14" s="20" t="s">
        <v>689</v>
      </c>
    </row>
    <row r="15" spans="1:11" ht="14.25" x14ac:dyDescent="0.2">
      <c r="A15" s="10"/>
      <c r="B15" s="10"/>
      <c r="C15" s="10"/>
      <c r="D15" s="10"/>
      <c r="E15" s="10"/>
      <c r="F15" s="21" t="s">
        <v>19</v>
      </c>
      <c r="G15" s="21"/>
      <c r="H15" s="21"/>
      <c r="I15" s="44">
        <f>(Source!F141)</f>
        <v>3722525.16</v>
      </c>
      <c r="J15" s="22"/>
      <c r="K15" s="10" t="s">
        <v>689</v>
      </c>
    </row>
    <row r="16" spans="1:11" ht="14.25" x14ac:dyDescent="0.2">
      <c r="A16" s="10"/>
      <c r="B16" s="10"/>
      <c r="C16" s="10"/>
      <c r="D16" s="10"/>
      <c r="E16" s="10"/>
      <c r="F16" s="21" t="s">
        <v>653</v>
      </c>
      <c r="G16" s="21"/>
      <c r="H16" s="21"/>
      <c r="I16" s="44">
        <f>(Source!F142)</f>
        <v>0</v>
      </c>
      <c r="J16" s="22"/>
      <c r="K16" s="10" t="s">
        <v>689</v>
      </c>
    </row>
    <row r="17" spans="1:22" ht="14.25" x14ac:dyDescent="0.2">
      <c r="A17" s="10"/>
      <c r="B17" s="10"/>
      <c r="C17" s="10"/>
      <c r="D17" s="10"/>
      <c r="E17" s="10"/>
      <c r="F17" s="21" t="s">
        <v>654</v>
      </c>
      <c r="G17" s="21"/>
      <c r="H17" s="21"/>
      <c r="I17" s="44">
        <f>(Source!F133)</f>
        <v>0</v>
      </c>
      <c r="J17" s="22"/>
      <c r="K17" s="10" t="s">
        <v>689</v>
      </c>
    </row>
    <row r="18" spans="1:22" ht="14.25" x14ac:dyDescent="0.2">
      <c r="A18" s="10"/>
      <c r="B18" s="10"/>
      <c r="C18" s="10"/>
      <c r="D18" s="10"/>
      <c r="E18" s="10"/>
      <c r="F18" s="21" t="s">
        <v>655</v>
      </c>
      <c r="G18" s="21"/>
      <c r="H18" s="21"/>
      <c r="I18" s="44">
        <f>(Source!F143+Source!F144)</f>
        <v>0</v>
      </c>
      <c r="J18" s="22"/>
      <c r="K18" s="10" t="s">
        <v>689</v>
      </c>
    </row>
    <row r="19" spans="1:22" ht="14.25" x14ac:dyDescent="0.2">
      <c r="A19" s="10"/>
      <c r="B19" s="10"/>
      <c r="C19" s="10"/>
      <c r="D19" s="10"/>
      <c r="E19" s="10"/>
      <c r="F19" s="21" t="s">
        <v>656</v>
      </c>
      <c r="G19" s="21"/>
      <c r="H19" s="21"/>
      <c r="I19" s="44">
        <f>(Source!F139+ Source!F138)</f>
        <v>1133992.08</v>
      </c>
      <c r="J19" s="22"/>
      <c r="K19" s="10" t="s">
        <v>689</v>
      </c>
    </row>
    <row r="20" spans="1:22" ht="14.25" x14ac:dyDescent="0.2">
      <c r="A20" s="10"/>
      <c r="B20" s="10"/>
      <c r="C20" s="10"/>
      <c r="D20" s="10"/>
      <c r="E20" s="10"/>
      <c r="F20" s="21" t="s">
        <v>657</v>
      </c>
      <c r="G20" s="21"/>
      <c r="H20" s="21"/>
      <c r="I20" s="44">
        <f>Source!F146</f>
        <v>4618.4732981387997</v>
      </c>
      <c r="J20" s="22"/>
      <c r="K20" s="10" t="s">
        <v>390</v>
      </c>
    </row>
    <row r="21" spans="1:22" ht="14.25" hidden="1" x14ac:dyDescent="0.2">
      <c r="A21" s="10"/>
      <c r="B21" s="10"/>
      <c r="C21" s="10"/>
      <c r="D21" s="10"/>
      <c r="E21" s="10"/>
      <c r="F21" s="23" t="s">
        <v>658</v>
      </c>
      <c r="G21" s="23"/>
      <c r="H21" s="23"/>
      <c r="I21" s="24"/>
      <c r="J21" s="24"/>
      <c r="K21" s="10"/>
    </row>
    <row r="22" spans="1:22" ht="14.25" hidden="1" x14ac:dyDescent="0.2">
      <c r="A22" s="10"/>
      <c r="B22" s="10"/>
      <c r="C22" s="10"/>
      <c r="D22" s="10"/>
      <c r="E22" s="10"/>
      <c r="F22" s="25" t="s">
        <v>364</v>
      </c>
      <c r="G22" s="26"/>
      <c r="H22" s="26"/>
      <c r="I22" s="24">
        <f>SUM(AF1:AF372)</f>
        <v>0</v>
      </c>
      <c r="J22" s="24"/>
      <c r="K22" s="10" t="s">
        <v>689</v>
      </c>
    </row>
    <row r="23" spans="1:22" ht="14.25" x14ac:dyDescent="0.2">
      <c r="A23" s="10"/>
      <c r="B23" s="10"/>
      <c r="C23" s="10"/>
      <c r="D23" s="10"/>
      <c r="E23" s="10"/>
      <c r="F23" s="27"/>
      <c r="G23" s="27"/>
      <c r="H23" s="27"/>
      <c r="I23" s="28"/>
      <c r="J23" s="28"/>
      <c r="K23" s="10"/>
    </row>
    <row r="24" spans="1:22" ht="14.25" x14ac:dyDescent="0.2">
      <c r="A24" s="10" t="s">
        <v>673</v>
      </c>
      <c r="B24" s="10"/>
      <c r="C24" s="10"/>
      <c r="D24" s="10"/>
      <c r="E24" s="10"/>
      <c r="F24" s="27"/>
      <c r="G24" s="27"/>
      <c r="H24" s="27"/>
      <c r="I24" s="28"/>
      <c r="J24" s="28"/>
      <c r="K24" s="10"/>
    </row>
    <row r="25" spans="1:22" ht="14.25" x14ac:dyDescent="0.2">
      <c r="A25" s="17" t="s">
        <v>674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22" ht="14.25" x14ac:dyDescent="0.2">
      <c r="A26" s="29" t="s">
        <v>659</v>
      </c>
      <c r="B26" s="29" t="s">
        <v>660</v>
      </c>
      <c r="C26" s="29" t="s">
        <v>661</v>
      </c>
      <c r="D26" s="29" t="s">
        <v>662</v>
      </c>
      <c r="E26" s="29" t="s">
        <v>663</v>
      </c>
      <c r="F26" s="29" t="s">
        <v>664</v>
      </c>
      <c r="G26" s="29" t="s">
        <v>665</v>
      </c>
      <c r="H26" s="29" t="s">
        <v>666</v>
      </c>
      <c r="I26" s="29" t="s">
        <v>667</v>
      </c>
      <c r="J26" s="29" t="s">
        <v>668</v>
      </c>
      <c r="K26" s="30" t="s">
        <v>669</v>
      </c>
    </row>
    <row r="27" spans="1:22" ht="28.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2" t="s">
        <v>670</v>
      </c>
    </row>
    <row r="28" spans="1:22" ht="28.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2" t="s">
        <v>671</v>
      </c>
    </row>
    <row r="29" spans="1:22" ht="14.25" x14ac:dyDescent="0.2">
      <c r="A29" s="32">
        <v>1</v>
      </c>
      <c r="B29" s="32">
        <v>2</v>
      </c>
      <c r="C29" s="32">
        <v>3</v>
      </c>
      <c r="D29" s="32">
        <v>4</v>
      </c>
      <c r="E29" s="32">
        <v>5</v>
      </c>
      <c r="F29" s="32">
        <v>6</v>
      </c>
      <c r="G29" s="32">
        <v>7</v>
      </c>
      <c r="H29" s="32">
        <v>8</v>
      </c>
      <c r="I29" s="32">
        <v>9</v>
      </c>
      <c r="J29" s="32">
        <v>10</v>
      </c>
      <c r="K29" s="32">
        <v>11</v>
      </c>
    </row>
    <row r="31" spans="1:22" ht="16.5" x14ac:dyDescent="0.25">
      <c r="A31" s="33" t="str">
        <f>CONCATENATE("Локальная смета: ",IF(Source!G20&lt;&gt;"Новая локальная смета", Source!G20, ""))</f>
        <v>Локальная смета: Отделка помещения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22" ht="114" x14ac:dyDescent="0.2">
      <c r="A32" s="34" t="str">
        <f>Source!E24</f>
        <v>1</v>
      </c>
      <c r="B32" s="35" t="str">
        <f>Source!F24</f>
        <v>3.10-96-1</v>
      </c>
      <c r="C32" s="35" t="s">
        <v>13</v>
      </c>
      <c r="D32" s="36" t="str">
        <f>Source!H24</f>
        <v>100 м2</v>
      </c>
      <c r="E32" s="28">
        <f>Source!I24</f>
        <v>8.3550000000000004</v>
      </c>
      <c r="F32" s="38"/>
      <c r="G32" s="37"/>
      <c r="H32" s="28"/>
      <c r="I32" s="28"/>
      <c r="J32" s="39"/>
      <c r="K32" s="39"/>
      <c r="Q32">
        <f>ROUND((Source!DN24/100)*ROUND((Source!AF24*Source!AV24)*Source!I24, 2), 2)</f>
        <v>8555.57</v>
      </c>
      <c r="R32">
        <f>Source!X24</f>
        <v>140010.46</v>
      </c>
      <c r="S32">
        <f>ROUND((Source!DO24/100)*ROUND((Source!AF24*Source!AV24)*Source!I24, 2), 2)</f>
        <v>6581.2</v>
      </c>
      <c r="T32">
        <f>Source!Y24</f>
        <v>78636.009999999995</v>
      </c>
      <c r="U32">
        <f>ROUND((175/100)*ROUND((Source!AE24*Source!AV24)*Source!I24, 2), 2)</f>
        <v>172.03</v>
      </c>
      <c r="V32">
        <f>ROUND((157/100)*ROUND(Source!CS24*Source!I24, 2), 2)</f>
        <v>3148.42</v>
      </c>
    </row>
    <row r="33" spans="1:22" x14ac:dyDescent="0.2">
      <c r="C33" s="40" t="str">
        <f>"Объем: "&amp;Source!I24&amp;"=835,5/"&amp;"100"</f>
        <v>Объем: 8,355=835,5/100</v>
      </c>
    </row>
    <row r="34" spans="1:22" ht="14.25" x14ac:dyDescent="0.2">
      <c r="A34" s="34"/>
      <c r="B34" s="35"/>
      <c r="C34" s="35" t="s">
        <v>675</v>
      </c>
      <c r="D34" s="36"/>
      <c r="E34" s="28"/>
      <c r="F34" s="38">
        <f>Source!AO24</f>
        <v>934.58</v>
      </c>
      <c r="G34" s="37" t="str">
        <f>Source!DG24</f>
        <v>)*1,15</v>
      </c>
      <c r="H34" s="28">
        <f>Source!AV24</f>
        <v>1.0469999999999999</v>
      </c>
      <c r="I34" s="28">
        <f>IF(Source!BA24&lt;&gt; 0, Source!BA24, 1)</f>
        <v>20.399999999999999</v>
      </c>
      <c r="J34" s="39">
        <f>Source!S24</f>
        <v>191795.15</v>
      </c>
      <c r="K34" s="39"/>
    </row>
    <row r="35" spans="1:22" ht="14.25" x14ac:dyDescent="0.2">
      <c r="A35" s="34"/>
      <c r="B35" s="35"/>
      <c r="C35" s="35" t="s">
        <v>676</v>
      </c>
      <c r="D35" s="36"/>
      <c r="E35" s="28"/>
      <c r="F35" s="38">
        <f>Source!AM24</f>
        <v>38.58</v>
      </c>
      <c r="G35" s="37" t="str">
        <f>Source!DE24</f>
        <v>)*1,25</v>
      </c>
      <c r="H35" s="28">
        <f>Source!AV24</f>
        <v>1.0469999999999999</v>
      </c>
      <c r="I35" s="28">
        <f>IF(Source!BB24&lt;&gt; 0, Source!BB24, 1)</f>
        <v>8.3699999999999992</v>
      </c>
      <c r="J35" s="39">
        <f>Source!Q24</f>
        <v>3530.94</v>
      </c>
      <c r="K35" s="39"/>
    </row>
    <row r="36" spans="1:22" ht="14.25" x14ac:dyDescent="0.2">
      <c r="A36" s="34"/>
      <c r="B36" s="35"/>
      <c r="C36" s="35" t="s">
        <v>677</v>
      </c>
      <c r="D36" s="36"/>
      <c r="E36" s="28"/>
      <c r="F36" s="38">
        <f>Source!AN24</f>
        <v>8.99</v>
      </c>
      <c r="G36" s="37" t="str">
        <f>Source!DF24</f>
        <v>)*1,25</v>
      </c>
      <c r="H36" s="28">
        <f>Source!AV24</f>
        <v>1.0469999999999999</v>
      </c>
      <c r="I36" s="28">
        <f>IF(Source!BS24&lt;&gt; 0, Source!BS24, 1)</f>
        <v>20.399999999999999</v>
      </c>
      <c r="J36" s="41">
        <f>Source!R24</f>
        <v>2005.36</v>
      </c>
      <c r="K36" s="39"/>
    </row>
    <row r="37" spans="1:22" ht="14.25" x14ac:dyDescent="0.2">
      <c r="A37" s="34"/>
      <c r="B37" s="35"/>
      <c r="C37" s="35" t="s">
        <v>678</v>
      </c>
      <c r="D37" s="36"/>
      <c r="E37" s="28"/>
      <c r="F37" s="38">
        <f>Source!AL24</f>
        <v>1830.27</v>
      </c>
      <c r="G37" s="37" t="str">
        <f>Source!DD24</f>
        <v/>
      </c>
      <c r="H37" s="28">
        <f>Source!AW24</f>
        <v>1</v>
      </c>
      <c r="I37" s="28">
        <f>IF(Source!BC24&lt;&gt; 0, Source!BC24, 1)</f>
        <v>2.61</v>
      </c>
      <c r="J37" s="39">
        <f>Source!P24</f>
        <v>39911.870000000003</v>
      </c>
      <c r="K37" s="39"/>
    </row>
    <row r="38" spans="1:22" ht="57" x14ac:dyDescent="0.2">
      <c r="A38" s="34" t="str">
        <f>Source!E25</f>
        <v>1,1</v>
      </c>
      <c r="B38" s="35" t="str">
        <f>Source!F25</f>
        <v>1.1-1-3720</v>
      </c>
      <c r="C38" s="35" t="s">
        <v>25</v>
      </c>
      <c r="D38" s="36" t="str">
        <f>Source!H25</f>
        <v>м</v>
      </c>
      <c r="E38" s="28">
        <f>Source!I25</f>
        <v>969.18</v>
      </c>
      <c r="F38" s="38">
        <f>Source!AK25</f>
        <v>1</v>
      </c>
      <c r="G38" s="42" t="s">
        <v>3</v>
      </c>
      <c r="H38" s="28">
        <f>Source!AW25</f>
        <v>1</v>
      </c>
      <c r="I38" s="28">
        <f>IF(Source!BC25&lt;&gt; 0, Source!BC25, 1)</f>
        <v>4.76</v>
      </c>
      <c r="J38" s="39">
        <f>Source!O25</f>
        <v>4613.3</v>
      </c>
      <c r="K38" s="39"/>
      <c r="Q38">
        <f>ROUND((Source!DN25/100)*ROUND((Source!AF25*Source!AV25)*Source!I25, 2), 2)</f>
        <v>0</v>
      </c>
      <c r="R38">
        <f>Source!X25</f>
        <v>0</v>
      </c>
      <c r="S38">
        <f>ROUND((Source!DO25/100)*ROUND((Source!AF25*Source!AV25)*Source!I25, 2), 2)</f>
        <v>0</v>
      </c>
      <c r="T38">
        <f>Source!Y25</f>
        <v>0</v>
      </c>
      <c r="U38">
        <f>ROUND((175/100)*ROUND((Source!AE25*Source!AV25)*Source!I25, 2), 2)</f>
        <v>0</v>
      </c>
      <c r="V38">
        <f>ROUND((157/100)*ROUND(Source!CS25*Source!I25, 2), 2)</f>
        <v>0</v>
      </c>
    </row>
    <row r="39" spans="1:22" ht="57" x14ac:dyDescent="0.2">
      <c r="A39" s="34" t="str">
        <f>Source!E26</f>
        <v>1,2</v>
      </c>
      <c r="B39" s="35" t="str">
        <f>Source!F26</f>
        <v>1.7-4-27</v>
      </c>
      <c r="C39" s="35" t="s">
        <v>30</v>
      </c>
      <c r="D39" s="36" t="str">
        <f>Source!H26</f>
        <v>м</v>
      </c>
      <c r="E39" s="28">
        <f>Source!I26</f>
        <v>1010.955</v>
      </c>
      <c r="F39" s="38">
        <f>Source!AK26</f>
        <v>23.58</v>
      </c>
      <c r="G39" s="42" t="s">
        <v>3</v>
      </c>
      <c r="H39" s="28">
        <f>Source!AW26</f>
        <v>1</v>
      </c>
      <c r="I39" s="28">
        <f>IF(Source!BC26&lt;&gt; 0, Source!BC26, 1)</f>
        <v>2.12</v>
      </c>
      <c r="J39" s="39">
        <f>Source!O26</f>
        <v>50537.24</v>
      </c>
      <c r="K39" s="39"/>
      <c r="Q39">
        <f>ROUND((Source!DN26/100)*ROUND((Source!AF26*Source!AV26)*Source!I26, 2), 2)</f>
        <v>0</v>
      </c>
      <c r="R39">
        <f>Source!X26</f>
        <v>0</v>
      </c>
      <c r="S39">
        <f>ROUND((Source!DO26/100)*ROUND((Source!AF26*Source!AV26)*Source!I26, 2), 2)</f>
        <v>0</v>
      </c>
      <c r="T39">
        <f>Source!Y26</f>
        <v>0</v>
      </c>
      <c r="U39">
        <f>ROUND((175/100)*ROUND((Source!AE26*Source!AV26)*Source!I26, 2), 2)</f>
        <v>0</v>
      </c>
      <c r="V39">
        <f>ROUND((157/100)*ROUND(Source!CS26*Source!I26, 2), 2)</f>
        <v>0</v>
      </c>
    </row>
    <row r="40" spans="1:22" ht="57" x14ac:dyDescent="0.2">
      <c r="A40" s="34" t="str">
        <f>Source!E27</f>
        <v>1,3</v>
      </c>
      <c r="B40" s="35" t="str">
        <f>Source!F27</f>
        <v>1.7-4-27</v>
      </c>
      <c r="C40" s="35" t="s">
        <v>30</v>
      </c>
      <c r="D40" s="36" t="str">
        <f>Source!H27</f>
        <v>м</v>
      </c>
      <c r="E40" s="28">
        <f>Source!I27</f>
        <v>1879.875</v>
      </c>
      <c r="F40" s="38">
        <f>Source!AK27</f>
        <v>23.58</v>
      </c>
      <c r="G40" s="42" t="s">
        <v>3</v>
      </c>
      <c r="H40" s="28">
        <f>Source!AW27</f>
        <v>1</v>
      </c>
      <c r="I40" s="28">
        <f>IF(Source!BC27&lt;&gt; 0, Source!BC27, 1)</f>
        <v>2.12</v>
      </c>
      <c r="J40" s="39">
        <f>Source!O27</f>
        <v>93974.2</v>
      </c>
      <c r="K40" s="39"/>
      <c r="Q40">
        <f>ROUND((Source!DN27/100)*ROUND((Source!AF27*Source!AV27)*Source!I27, 2), 2)</f>
        <v>0</v>
      </c>
      <c r="R40">
        <f>Source!X27</f>
        <v>0</v>
      </c>
      <c r="S40">
        <f>ROUND((Source!DO27/100)*ROUND((Source!AF27*Source!AV27)*Source!I27, 2), 2)</f>
        <v>0</v>
      </c>
      <c r="T40">
        <f>Source!Y27</f>
        <v>0</v>
      </c>
      <c r="U40">
        <f>ROUND((175/100)*ROUND((Source!AE27*Source!AV27)*Source!I27, 2), 2)</f>
        <v>0</v>
      </c>
      <c r="V40">
        <f>ROUND((157/100)*ROUND(Source!CS27*Source!I27, 2), 2)</f>
        <v>0</v>
      </c>
    </row>
    <row r="41" spans="1:22" ht="28.5" x14ac:dyDescent="0.2">
      <c r="A41" s="34" t="str">
        <f>Source!E28</f>
        <v>1,4</v>
      </c>
      <c r="B41" s="35" t="str">
        <f>Source!F28</f>
        <v>1.1-1-569</v>
      </c>
      <c r="C41" s="35" t="s">
        <v>35</v>
      </c>
      <c r="D41" s="36" t="str">
        <f>Source!H28</f>
        <v>м2</v>
      </c>
      <c r="E41" s="28">
        <f>Source!I28</f>
        <v>893.98500000000001</v>
      </c>
      <c r="F41" s="38">
        <f>Source!AK28</f>
        <v>41.26</v>
      </c>
      <c r="G41" s="42" t="s">
        <v>3</v>
      </c>
      <c r="H41" s="28">
        <f>Source!AW28</f>
        <v>1</v>
      </c>
      <c r="I41" s="28">
        <f>IF(Source!BC28&lt;&gt; 0, Source!BC28, 1)</f>
        <v>1.69</v>
      </c>
      <c r="J41" s="39">
        <f>Source!O28</f>
        <v>62337.04</v>
      </c>
      <c r="K41" s="39"/>
      <c r="Q41">
        <f>ROUND((Source!DN28/100)*ROUND((Source!AF28*Source!AV28)*Source!I28, 2), 2)</f>
        <v>0</v>
      </c>
      <c r="R41">
        <f>Source!X28</f>
        <v>0</v>
      </c>
      <c r="S41">
        <f>ROUND((Source!DO28/100)*ROUND((Source!AF28*Source!AV28)*Source!I28, 2), 2)</f>
        <v>0</v>
      </c>
      <c r="T41">
        <f>Source!Y28</f>
        <v>0</v>
      </c>
      <c r="U41">
        <f>ROUND((175/100)*ROUND((Source!AE28*Source!AV28)*Source!I28, 2), 2)</f>
        <v>0</v>
      </c>
      <c r="V41">
        <f>ROUND((157/100)*ROUND(Source!CS28*Source!I28, 2), 2)</f>
        <v>0</v>
      </c>
    </row>
    <row r="42" spans="1:22" ht="42.75" x14ac:dyDescent="0.2">
      <c r="A42" s="34" t="str">
        <f>Source!E29</f>
        <v>1,5</v>
      </c>
      <c r="B42" s="35" t="str">
        <f>Source!F29</f>
        <v>1.1-1-3717</v>
      </c>
      <c r="C42" s="35" t="s">
        <v>40</v>
      </c>
      <c r="D42" s="36" t="str">
        <f>Source!H29</f>
        <v>м</v>
      </c>
      <c r="E42" s="28">
        <f>Source!I29</f>
        <v>584.85</v>
      </c>
      <c r="F42" s="38">
        <f>Source!AK29</f>
        <v>0.89</v>
      </c>
      <c r="G42" s="42" t="s">
        <v>3</v>
      </c>
      <c r="H42" s="28">
        <f>Source!AW29</f>
        <v>1</v>
      </c>
      <c r="I42" s="28">
        <f>IF(Source!BC29&lt;&gt; 0, Source!BC29, 1)</f>
        <v>2.78</v>
      </c>
      <c r="J42" s="39">
        <f>Source!O29</f>
        <v>1447.04</v>
      </c>
      <c r="K42" s="39"/>
      <c r="Q42">
        <f>ROUND((Source!DN29/100)*ROUND((Source!AF29*Source!AV29)*Source!I29, 2), 2)</f>
        <v>0</v>
      </c>
      <c r="R42">
        <f>Source!X29</f>
        <v>0</v>
      </c>
      <c r="S42">
        <f>ROUND((Source!DO29/100)*ROUND((Source!AF29*Source!AV29)*Source!I29, 2), 2)</f>
        <v>0</v>
      </c>
      <c r="T42">
        <f>Source!Y29</f>
        <v>0</v>
      </c>
      <c r="U42">
        <f>ROUND((175/100)*ROUND((Source!AE29*Source!AV29)*Source!I29, 2), 2)</f>
        <v>0</v>
      </c>
      <c r="V42">
        <f>ROUND((157/100)*ROUND(Source!CS29*Source!I29, 2), 2)</f>
        <v>0</v>
      </c>
    </row>
    <row r="43" spans="1:22" ht="14.25" x14ac:dyDescent="0.2">
      <c r="A43" s="34"/>
      <c r="B43" s="35"/>
      <c r="C43" s="35" t="s">
        <v>679</v>
      </c>
      <c r="D43" s="36" t="s">
        <v>680</v>
      </c>
      <c r="E43" s="28">
        <f>Source!BZ24</f>
        <v>73</v>
      </c>
      <c r="F43" s="38"/>
      <c r="G43" s="37"/>
      <c r="H43" s="28"/>
      <c r="I43" s="28"/>
      <c r="J43" s="39">
        <f>SUM(R32:R42)</f>
        <v>140010.46</v>
      </c>
      <c r="K43" s="39"/>
    </row>
    <row r="44" spans="1:22" ht="14.25" x14ac:dyDescent="0.2">
      <c r="A44" s="34"/>
      <c r="B44" s="35"/>
      <c r="C44" s="35" t="s">
        <v>681</v>
      </c>
      <c r="D44" s="36" t="s">
        <v>680</v>
      </c>
      <c r="E44" s="28">
        <f>Source!CA24</f>
        <v>41</v>
      </c>
      <c r="F44" s="38"/>
      <c r="G44" s="37"/>
      <c r="H44" s="28"/>
      <c r="I44" s="28"/>
      <c r="J44" s="39">
        <f>SUM(T32:T43)</f>
        <v>78636.009999999995</v>
      </c>
      <c r="K44" s="39"/>
    </row>
    <row r="45" spans="1:22" ht="14.25" x14ac:dyDescent="0.2">
      <c r="A45" s="34"/>
      <c r="B45" s="35"/>
      <c r="C45" s="35" t="s">
        <v>682</v>
      </c>
      <c r="D45" s="36" t="s">
        <v>680</v>
      </c>
      <c r="E45" s="28">
        <f>157</f>
        <v>157</v>
      </c>
      <c r="F45" s="38"/>
      <c r="G45" s="37"/>
      <c r="H45" s="28"/>
      <c r="I45" s="28"/>
      <c r="J45" s="39">
        <f>SUM(V32:V44)</f>
        <v>3148.42</v>
      </c>
      <c r="K45" s="39"/>
    </row>
    <row r="46" spans="1:22" ht="14.25" x14ac:dyDescent="0.2">
      <c r="A46" s="46"/>
      <c r="B46" s="47"/>
      <c r="C46" s="47" t="s">
        <v>683</v>
      </c>
      <c r="D46" s="48" t="s">
        <v>684</v>
      </c>
      <c r="E46" s="49">
        <f>Source!AQ24</f>
        <v>78.11</v>
      </c>
      <c r="F46" s="50"/>
      <c r="G46" s="51" t="str">
        <f>Source!DI24</f>
        <v>)*1,15</v>
      </c>
      <c r="H46" s="49">
        <f>Source!AV24</f>
        <v>1.0469999999999999</v>
      </c>
      <c r="I46" s="49"/>
      <c r="J46" s="52"/>
      <c r="K46" s="52">
        <f>Source!U24</f>
        <v>785.77392665249999</v>
      </c>
    </row>
    <row r="47" spans="1:22" ht="15" x14ac:dyDescent="0.25">
      <c r="A47" s="53"/>
      <c r="B47" s="53"/>
      <c r="C47" s="54" t="s">
        <v>685</v>
      </c>
      <c r="D47" s="53"/>
      <c r="E47" s="53"/>
      <c r="F47" s="53"/>
      <c r="G47" s="53"/>
      <c r="H47" s="53"/>
      <c r="I47" s="55">
        <f>J34+J35+J37+J43+J44+J45+SUM(J38:J42)</f>
        <v>669941.66999999993</v>
      </c>
      <c r="J47" s="55"/>
      <c r="K47" s="56">
        <f>IF(Source!I24&lt;&gt;0, ROUND(I47/Source!I24, 2), 0)</f>
        <v>80184.52</v>
      </c>
      <c r="P47" s="43">
        <f>J34+J35+J37+J43+J44+J45+SUM(J38:J42)</f>
        <v>669941.66999999993</v>
      </c>
    </row>
    <row r="49" spans="1:22" ht="42.75" x14ac:dyDescent="0.2">
      <c r="A49" s="34" t="str">
        <f>Source!E30</f>
        <v>2</v>
      </c>
      <c r="B49" s="35" t="str">
        <f>Source!F30</f>
        <v>3.15-167-1</v>
      </c>
      <c r="C49" s="35" t="s">
        <v>44</v>
      </c>
      <c r="D49" s="36" t="str">
        <f>Source!H30</f>
        <v>100 м2</v>
      </c>
      <c r="E49" s="28">
        <f>Source!I30</f>
        <v>8.3550000000000004</v>
      </c>
      <c r="F49" s="38"/>
      <c r="G49" s="37"/>
      <c r="H49" s="28"/>
      <c r="I49" s="28"/>
      <c r="J49" s="39"/>
      <c r="K49" s="39"/>
      <c r="Q49">
        <f>ROUND((Source!DN30/100)*ROUND((Source!AF30*Source!AV30)*Source!I30, 2), 2)</f>
        <v>2745.95</v>
      </c>
      <c r="R49">
        <f>Source!X30</f>
        <v>45374.02</v>
      </c>
      <c r="S49">
        <f>ROUND((Source!DO30/100)*ROUND((Source!AF30*Source!AV30)*Source!I30, 2), 2)</f>
        <v>1757.41</v>
      </c>
      <c r="T49">
        <f>Source!Y30</f>
        <v>22967.1</v>
      </c>
      <c r="U49">
        <f>ROUND((175/100)*ROUND((Source!AE30*Source!AV30)*Source!I30, 2), 2)</f>
        <v>6</v>
      </c>
      <c r="V49">
        <f>ROUND((157/100)*ROUND(Source!CS30*Source!I30, 2), 2)</f>
        <v>109.71</v>
      </c>
    </row>
    <row r="50" spans="1:22" x14ac:dyDescent="0.2">
      <c r="C50" s="40" t="str">
        <f>"Объем: "&amp;Source!I30&amp;"=835,5/"&amp;"100"</f>
        <v>Объем: 8,355=835,5/100</v>
      </c>
    </row>
    <row r="51" spans="1:22" ht="14.25" x14ac:dyDescent="0.2">
      <c r="A51" s="34"/>
      <c r="B51" s="35"/>
      <c r="C51" s="35" t="s">
        <v>675</v>
      </c>
      <c r="D51" s="36"/>
      <c r="E51" s="28"/>
      <c r="F51" s="38">
        <f>Source!AO30</f>
        <v>278.82</v>
      </c>
      <c r="G51" s="37" t="str">
        <f>Source!DG30</f>
        <v>)*1,15</v>
      </c>
      <c r="H51" s="28">
        <f>Source!AV30</f>
        <v>1.0249999999999999</v>
      </c>
      <c r="I51" s="28">
        <f>IF(Source!BA30&lt;&gt; 0, Source!BA30, 1)</f>
        <v>20.399999999999999</v>
      </c>
      <c r="J51" s="39">
        <f>Source!S30</f>
        <v>56017.31</v>
      </c>
      <c r="K51" s="39"/>
    </row>
    <row r="52" spans="1:22" ht="14.25" x14ac:dyDescent="0.2">
      <c r="A52" s="34"/>
      <c r="B52" s="35"/>
      <c r="C52" s="35" t="s">
        <v>676</v>
      </c>
      <c r="D52" s="36"/>
      <c r="E52" s="28"/>
      <c r="F52" s="38">
        <f>Source!AM30</f>
        <v>6.03</v>
      </c>
      <c r="G52" s="37" t="str">
        <f>Source!DE30</f>
        <v>)*1,25</v>
      </c>
      <c r="H52" s="28">
        <f>Source!AV30</f>
        <v>1.0249999999999999</v>
      </c>
      <c r="I52" s="28">
        <f>IF(Source!BB30&lt;&gt; 0, Source!BB30, 1)</f>
        <v>5.87</v>
      </c>
      <c r="J52" s="39">
        <f>Source!Q30</f>
        <v>378.91</v>
      </c>
      <c r="K52" s="39"/>
    </row>
    <row r="53" spans="1:22" ht="14.25" x14ac:dyDescent="0.2">
      <c r="A53" s="34"/>
      <c r="B53" s="35"/>
      <c r="C53" s="35" t="s">
        <v>677</v>
      </c>
      <c r="D53" s="36"/>
      <c r="E53" s="28"/>
      <c r="F53" s="38">
        <f>Source!AN30</f>
        <v>0.32</v>
      </c>
      <c r="G53" s="37" t="str">
        <f>Source!DF30</f>
        <v>)*1,25</v>
      </c>
      <c r="H53" s="28">
        <f>Source!AV30</f>
        <v>1.0249999999999999</v>
      </c>
      <c r="I53" s="28">
        <f>IF(Source!BS30&lt;&gt; 0, Source!BS30, 1)</f>
        <v>20.399999999999999</v>
      </c>
      <c r="J53" s="41">
        <f>Source!R30</f>
        <v>69.88</v>
      </c>
      <c r="K53" s="39"/>
    </row>
    <row r="54" spans="1:22" ht="14.25" x14ac:dyDescent="0.2">
      <c r="A54" s="34"/>
      <c r="B54" s="35"/>
      <c r="C54" s="35" t="s">
        <v>678</v>
      </c>
      <c r="D54" s="36"/>
      <c r="E54" s="28"/>
      <c r="F54" s="38">
        <f>Source!AL30</f>
        <v>262.94</v>
      </c>
      <c r="G54" s="37" t="str">
        <f>Source!DD30</f>
        <v/>
      </c>
      <c r="H54" s="28">
        <f>Source!AW30</f>
        <v>1</v>
      </c>
      <c r="I54" s="28">
        <f>IF(Source!BC30&lt;&gt; 0, Source!BC30, 1)</f>
        <v>1.66</v>
      </c>
      <c r="J54" s="39">
        <f>Source!P30</f>
        <v>3646.79</v>
      </c>
      <c r="K54" s="39"/>
    </row>
    <row r="55" spans="1:22" ht="71.25" x14ac:dyDescent="0.2">
      <c r="A55" s="34" t="str">
        <f>Source!E31</f>
        <v>2,1</v>
      </c>
      <c r="B55" s="35" t="str">
        <f>Source!F31</f>
        <v>1.7-4-25</v>
      </c>
      <c r="C55" s="35" t="s">
        <v>50</v>
      </c>
      <c r="D55" s="36" t="str">
        <f>Source!H31</f>
        <v>м</v>
      </c>
      <c r="E55" s="28">
        <f>Source!I31</f>
        <v>803.00000000000011</v>
      </c>
      <c r="F55" s="38">
        <f>Source!AK31</f>
        <v>4.5</v>
      </c>
      <c r="G55" s="42" t="s">
        <v>3</v>
      </c>
      <c r="H55" s="28">
        <f>Source!AW31</f>
        <v>1</v>
      </c>
      <c r="I55" s="28">
        <f>IF(Source!BC31&lt;&gt; 0, Source!BC31, 1)</f>
        <v>2.88</v>
      </c>
      <c r="J55" s="39">
        <f>Source!O31</f>
        <v>10406.879999999999</v>
      </c>
      <c r="K55" s="39"/>
      <c r="Q55">
        <f>ROUND((Source!DN31/100)*ROUND((Source!AF31*Source!AV31)*Source!I31, 2), 2)</f>
        <v>0</v>
      </c>
      <c r="R55">
        <f>Source!X31</f>
        <v>0</v>
      </c>
      <c r="S55">
        <f>ROUND((Source!DO31/100)*ROUND((Source!AF31*Source!AV31)*Source!I31, 2), 2)</f>
        <v>0</v>
      </c>
      <c r="T55">
        <f>Source!Y31</f>
        <v>0</v>
      </c>
      <c r="U55">
        <f>ROUND((175/100)*ROUND((Source!AE31*Source!AV31)*Source!I31, 2), 2)</f>
        <v>0</v>
      </c>
      <c r="V55">
        <f>ROUND((157/100)*ROUND(Source!CS31*Source!I31, 2), 2)</f>
        <v>0</v>
      </c>
    </row>
    <row r="56" spans="1:22" ht="57" x14ac:dyDescent="0.2">
      <c r="A56" s="34" t="str">
        <f>Source!E32</f>
        <v>2,2</v>
      </c>
      <c r="B56" s="35" t="str">
        <f>Source!F32</f>
        <v>1.3-2-193</v>
      </c>
      <c r="C56" s="35" t="s">
        <v>54</v>
      </c>
      <c r="D56" s="36" t="str">
        <f>Source!H32</f>
        <v>кг</v>
      </c>
      <c r="E56" s="28">
        <f>Source!I32</f>
        <v>650.85450000000003</v>
      </c>
      <c r="F56" s="38">
        <f>Source!AK32</f>
        <v>8.8800000000000008</v>
      </c>
      <c r="G56" s="42" t="s">
        <v>3</v>
      </c>
      <c r="H56" s="28">
        <f>Source!AW32</f>
        <v>1</v>
      </c>
      <c r="I56" s="28">
        <f>IF(Source!BC32&lt;&gt; 0, Source!BC32, 1)</f>
        <v>2.25</v>
      </c>
      <c r="J56" s="39">
        <f>Source!O32</f>
        <v>13004.07</v>
      </c>
      <c r="K56" s="39"/>
      <c r="Q56">
        <f>ROUND((Source!DN32/100)*ROUND((Source!AF32*Source!AV32)*Source!I32, 2), 2)</f>
        <v>0</v>
      </c>
      <c r="R56">
        <f>Source!X32</f>
        <v>0</v>
      </c>
      <c r="S56">
        <f>ROUND((Source!DO32/100)*ROUND((Source!AF32*Source!AV32)*Source!I32, 2), 2)</f>
        <v>0</v>
      </c>
      <c r="T56">
        <f>Source!Y32</f>
        <v>0</v>
      </c>
      <c r="U56">
        <f>ROUND((175/100)*ROUND((Source!AE32*Source!AV32)*Source!I32, 2), 2)</f>
        <v>0</v>
      </c>
      <c r="V56">
        <f>ROUND((157/100)*ROUND(Source!CS32*Source!I32, 2), 2)</f>
        <v>0</v>
      </c>
    </row>
    <row r="57" spans="1:22" ht="14.25" x14ac:dyDescent="0.2">
      <c r="A57" s="34"/>
      <c r="B57" s="35"/>
      <c r="C57" s="35" t="s">
        <v>679</v>
      </c>
      <c r="D57" s="36" t="s">
        <v>680</v>
      </c>
      <c r="E57" s="28">
        <f>Source!BZ30</f>
        <v>81</v>
      </c>
      <c r="F57" s="38"/>
      <c r="G57" s="37"/>
      <c r="H57" s="28"/>
      <c r="I57" s="28"/>
      <c r="J57" s="39">
        <f>SUM(R49:R56)</f>
        <v>45374.02</v>
      </c>
      <c r="K57" s="39"/>
    </row>
    <row r="58" spans="1:22" ht="14.25" x14ac:dyDescent="0.2">
      <c r="A58" s="34"/>
      <c r="B58" s="35"/>
      <c r="C58" s="35" t="s">
        <v>681</v>
      </c>
      <c r="D58" s="36" t="s">
        <v>680</v>
      </c>
      <c r="E58" s="28">
        <f>Source!CA30</f>
        <v>41</v>
      </c>
      <c r="F58" s="38"/>
      <c r="G58" s="37"/>
      <c r="H58" s="28"/>
      <c r="I58" s="28"/>
      <c r="J58" s="39">
        <f>SUM(T49:T57)</f>
        <v>22967.1</v>
      </c>
      <c r="K58" s="39"/>
    </row>
    <row r="59" spans="1:22" ht="14.25" x14ac:dyDescent="0.2">
      <c r="A59" s="34"/>
      <c r="B59" s="35"/>
      <c r="C59" s="35" t="s">
        <v>682</v>
      </c>
      <c r="D59" s="36" t="s">
        <v>680</v>
      </c>
      <c r="E59" s="28">
        <f>157</f>
        <v>157</v>
      </c>
      <c r="F59" s="38"/>
      <c r="G59" s="37"/>
      <c r="H59" s="28"/>
      <c r="I59" s="28"/>
      <c r="J59" s="39">
        <f>SUM(V49:V58)</f>
        <v>109.71</v>
      </c>
      <c r="K59" s="39"/>
    </row>
    <row r="60" spans="1:22" ht="14.25" x14ac:dyDescent="0.2">
      <c r="A60" s="46"/>
      <c r="B60" s="47"/>
      <c r="C60" s="47" t="s">
        <v>683</v>
      </c>
      <c r="D60" s="48" t="s">
        <v>684</v>
      </c>
      <c r="E60" s="49">
        <f>Source!AQ30</f>
        <v>23.72</v>
      </c>
      <c r="F60" s="50"/>
      <c r="G60" s="51" t="str">
        <f>Source!DI30</f>
        <v>)*1,15</v>
      </c>
      <c r="H60" s="49">
        <f>Source!AV30</f>
        <v>1.0249999999999999</v>
      </c>
      <c r="I60" s="49"/>
      <c r="J60" s="52"/>
      <c r="K60" s="52">
        <f>Source!U30</f>
        <v>233.60538224999993</v>
      </c>
    </row>
    <row r="61" spans="1:22" ht="15" x14ac:dyDescent="0.25">
      <c r="A61" s="53"/>
      <c r="B61" s="53"/>
      <c r="C61" s="54" t="s">
        <v>685</v>
      </c>
      <c r="D61" s="53"/>
      <c r="E61" s="53"/>
      <c r="F61" s="53"/>
      <c r="G61" s="53"/>
      <c r="H61" s="53"/>
      <c r="I61" s="55">
        <f>J51+J52+J54+J57+J58+J59+SUM(J55:J56)</f>
        <v>151904.79</v>
      </c>
      <c r="J61" s="55"/>
      <c r="K61" s="56">
        <f>IF(Source!I30&lt;&gt;0, ROUND(I61/Source!I30, 2), 0)</f>
        <v>18181.3</v>
      </c>
      <c r="P61" s="43">
        <f>J51+J52+J54+J57+J58+J59+SUM(J55:J56)</f>
        <v>151904.79</v>
      </c>
    </row>
    <row r="63" spans="1:22" ht="42.75" x14ac:dyDescent="0.2">
      <c r="A63" s="34" t="str">
        <f>Source!E33</f>
        <v>3</v>
      </c>
      <c r="B63" s="35" t="str">
        <f>Source!F33</f>
        <v>3.15-165-1</v>
      </c>
      <c r="C63" s="35" t="s">
        <v>59</v>
      </c>
      <c r="D63" s="36" t="str">
        <f>Source!H33</f>
        <v>100 м2</v>
      </c>
      <c r="E63" s="28">
        <f>Source!I33</f>
        <v>8.3550000000000004</v>
      </c>
      <c r="F63" s="38"/>
      <c r="G63" s="37"/>
      <c r="H63" s="28"/>
      <c r="I63" s="28"/>
      <c r="J63" s="39"/>
      <c r="K63" s="39"/>
      <c r="Q63">
        <f>ROUND((Source!DN33/100)*ROUND((Source!AF33*Source!AV33)*Source!I33, 2), 2)</f>
        <v>511.92</v>
      </c>
      <c r="R63">
        <f>Source!X33</f>
        <v>8459.01</v>
      </c>
      <c r="S63">
        <f>ROUND((Source!DO33/100)*ROUND((Source!AF33*Source!AV33)*Source!I33, 2), 2)</f>
        <v>327.63</v>
      </c>
      <c r="T63">
        <f>Source!Y33</f>
        <v>4281.72</v>
      </c>
      <c r="U63">
        <f>ROUND((175/100)*ROUND((Source!AE33*Source!AV33)*Source!I33, 2), 2)</f>
        <v>2.63</v>
      </c>
      <c r="V63">
        <f>ROUND((157/100)*ROUND(Source!CS33*Source!I33, 2), 2)</f>
        <v>47.99</v>
      </c>
    </row>
    <row r="64" spans="1:22" x14ac:dyDescent="0.2">
      <c r="C64" s="40" t="str">
        <f>"Объем: "&amp;Source!I33&amp;"=835,5/"&amp;"100"</f>
        <v>Объем: 8,355=835,5/100</v>
      </c>
    </row>
    <row r="65" spans="1:22" ht="14.25" x14ac:dyDescent="0.2">
      <c r="A65" s="34"/>
      <c r="B65" s="35"/>
      <c r="C65" s="35" t="s">
        <v>675</v>
      </c>
      <c r="D65" s="36"/>
      <c r="E65" s="28"/>
      <c r="F65" s="38">
        <f>Source!AO33</f>
        <v>51.98</v>
      </c>
      <c r="G65" s="37" t="str">
        <f>Source!DG33</f>
        <v>)*1,15</v>
      </c>
      <c r="H65" s="28">
        <f>Source!AV33</f>
        <v>1.0249999999999999</v>
      </c>
      <c r="I65" s="28">
        <f>IF(Source!BA33&lt;&gt; 0, Source!BA33, 1)</f>
        <v>20.399999999999999</v>
      </c>
      <c r="J65" s="39">
        <f>Source!S33</f>
        <v>10443.219999999999</v>
      </c>
      <c r="K65" s="39"/>
    </row>
    <row r="66" spans="1:22" ht="14.25" x14ac:dyDescent="0.2">
      <c r="A66" s="34"/>
      <c r="B66" s="35"/>
      <c r="C66" s="35" t="s">
        <v>676</v>
      </c>
      <c r="D66" s="36"/>
      <c r="E66" s="28"/>
      <c r="F66" s="38">
        <f>Source!AM33</f>
        <v>0.82</v>
      </c>
      <c r="G66" s="37" t="str">
        <f>Source!DE33</f>
        <v>)*1,25</v>
      </c>
      <c r="H66" s="28">
        <f>Source!AV33</f>
        <v>1.0249999999999999</v>
      </c>
      <c r="I66" s="28">
        <f>IF(Source!BB33&lt;&gt; 0, Source!BB33, 1)</f>
        <v>7.8</v>
      </c>
      <c r="J66" s="39">
        <f>Source!Q33</f>
        <v>68.47</v>
      </c>
      <c r="K66" s="39"/>
    </row>
    <row r="67" spans="1:22" ht="14.25" x14ac:dyDescent="0.2">
      <c r="A67" s="34"/>
      <c r="B67" s="35"/>
      <c r="C67" s="35" t="s">
        <v>677</v>
      </c>
      <c r="D67" s="36"/>
      <c r="E67" s="28"/>
      <c r="F67" s="38">
        <f>Source!AN33</f>
        <v>0.14000000000000001</v>
      </c>
      <c r="G67" s="37" t="str">
        <f>Source!DF33</f>
        <v>)*1,25</v>
      </c>
      <c r="H67" s="28">
        <f>Source!AV33</f>
        <v>1.0249999999999999</v>
      </c>
      <c r="I67" s="28">
        <f>IF(Source!BS33&lt;&gt; 0, Source!BS33, 1)</f>
        <v>20.399999999999999</v>
      </c>
      <c r="J67" s="41">
        <f>Source!R33</f>
        <v>30.57</v>
      </c>
      <c r="K67" s="39"/>
    </row>
    <row r="68" spans="1:22" ht="57" x14ac:dyDescent="0.2">
      <c r="A68" s="34" t="str">
        <f>Source!E34</f>
        <v>3,1</v>
      </c>
      <c r="B68" s="35" t="str">
        <f>Source!F34</f>
        <v>1.1-1-2854</v>
      </c>
      <c r="C68" s="35" t="s">
        <v>65</v>
      </c>
      <c r="D68" s="36" t="str">
        <f>Source!H34</f>
        <v>кг</v>
      </c>
      <c r="E68" s="28">
        <f>Source!I34</f>
        <v>86.0565</v>
      </c>
      <c r="F68" s="38">
        <f>Source!AK34</f>
        <v>28.98</v>
      </c>
      <c r="G68" s="42" t="s">
        <v>3</v>
      </c>
      <c r="H68" s="28">
        <f>Source!AW34</f>
        <v>1</v>
      </c>
      <c r="I68" s="28">
        <f>IF(Source!BC34&lt;&gt; 0, Source!BC34, 1)</f>
        <v>1.19</v>
      </c>
      <c r="J68" s="39">
        <f>Source!O34</f>
        <v>2967.76</v>
      </c>
      <c r="K68" s="39"/>
      <c r="Q68">
        <f>ROUND((Source!DN34/100)*ROUND((Source!AF34*Source!AV34)*Source!I34, 2), 2)</f>
        <v>0</v>
      </c>
      <c r="R68">
        <f>Source!X34</f>
        <v>0</v>
      </c>
      <c r="S68">
        <f>ROUND((Source!DO34/100)*ROUND((Source!AF34*Source!AV34)*Source!I34, 2), 2)</f>
        <v>0</v>
      </c>
      <c r="T68">
        <f>Source!Y34</f>
        <v>0</v>
      </c>
      <c r="U68">
        <f>ROUND((175/100)*ROUND((Source!AE34*Source!AV34)*Source!I34, 2), 2)</f>
        <v>0</v>
      </c>
      <c r="V68">
        <f>ROUND((157/100)*ROUND(Source!CS34*Source!I34, 2), 2)</f>
        <v>0</v>
      </c>
    </row>
    <row r="69" spans="1:22" ht="14.25" x14ac:dyDescent="0.2">
      <c r="A69" s="34"/>
      <c r="B69" s="35"/>
      <c r="C69" s="35" t="s">
        <v>679</v>
      </c>
      <c r="D69" s="36" t="s">
        <v>680</v>
      </c>
      <c r="E69" s="28">
        <f>Source!BZ33</f>
        <v>81</v>
      </c>
      <c r="F69" s="38"/>
      <c r="G69" s="37"/>
      <c r="H69" s="28"/>
      <c r="I69" s="28"/>
      <c r="J69" s="39">
        <f>SUM(R63:R68)</f>
        <v>8459.01</v>
      </c>
      <c r="K69" s="39"/>
    </row>
    <row r="70" spans="1:22" ht="14.25" x14ac:dyDescent="0.2">
      <c r="A70" s="34"/>
      <c r="B70" s="35"/>
      <c r="C70" s="35" t="s">
        <v>681</v>
      </c>
      <c r="D70" s="36" t="s">
        <v>680</v>
      </c>
      <c r="E70" s="28">
        <f>Source!CA33</f>
        <v>41</v>
      </c>
      <c r="F70" s="38"/>
      <c r="G70" s="37"/>
      <c r="H70" s="28"/>
      <c r="I70" s="28"/>
      <c r="J70" s="39">
        <f>SUM(T63:T69)</f>
        <v>4281.72</v>
      </c>
      <c r="K70" s="39"/>
    </row>
    <row r="71" spans="1:22" ht="14.25" x14ac:dyDescent="0.2">
      <c r="A71" s="34"/>
      <c r="B71" s="35"/>
      <c r="C71" s="35" t="s">
        <v>682</v>
      </c>
      <c r="D71" s="36" t="s">
        <v>680</v>
      </c>
      <c r="E71" s="28">
        <f>157</f>
        <v>157</v>
      </c>
      <c r="F71" s="38"/>
      <c r="G71" s="37"/>
      <c r="H71" s="28"/>
      <c r="I71" s="28"/>
      <c r="J71" s="39">
        <f>SUM(V63:V70)</f>
        <v>47.99</v>
      </c>
      <c r="K71" s="39"/>
    </row>
    <row r="72" spans="1:22" ht="14.25" x14ac:dyDescent="0.2">
      <c r="A72" s="46"/>
      <c r="B72" s="47"/>
      <c r="C72" s="47" t="s">
        <v>683</v>
      </c>
      <c r="D72" s="48" t="s">
        <v>684</v>
      </c>
      <c r="E72" s="49">
        <f>Source!AQ33</f>
        <v>4.6500000000000004</v>
      </c>
      <c r="F72" s="50"/>
      <c r="G72" s="51" t="str">
        <f>Source!DI33</f>
        <v>)*1,15</v>
      </c>
      <c r="H72" s="49">
        <f>Source!AV33</f>
        <v>1.0249999999999999</v>
      </c>
      <c r="I72" s="49"/>
      <c r="J72" s="52"/>
      <c r="K72" s="52">
        <f>Source!U33</f>
        <v>45.7953215625</v>
      </c>
    </row>
    <row r="73" spans="1:22" ht="15" x14ac:dyDescent="0.25">
      <c r="A73" s="53"/>
      <c r="B73" s="53"/>
      <c r="C73" s="54" t="s">
        <v>685</v>
      </c>
      <c r="D73" s="53"/>
      <c r="E73" s="53"/>
      <c r="F73" s="53"/>
      <c r="G73" s="53"/>
      <c r="H73" s="53"/>
      <c r="I73" s="55">
        <f>J65+J66+J69+J70+J71+SUM(J68:J68)</f>
        <v>26268.17</v>
      </c>
      <c r="J73" s="55"/>
      <c r="K73" s="56">
        <f>IF(Source!I33&lt;&gt;0, ROUND(I73/Source!I33, 2), 0)</f>
        <v>3144.01</v>
      </c>
      <c r="P73" s="43">
        <f>J65+J66+J69+J70+J71+SUM(J68:J68)</f>
        <v>26268.17</v>
      </c>
    </row>
    <row r="75" spans="1:22" ht="71.25" x14ac:dyDescent="0.2">
      <c r="A75" s="34" t="str">
        <f>Source!E35</f>
        <v>4</v>
      </c>
      <c r="B75" s="35" t="str">
        <f>Source!F35</f>
        <v>3.15-140-1</v>
      </c>
      <c r="C75" s="35" t="s">
        <v>69</v>
      </c>
      <c r="D75" s="36" t="str">
        <f>Source!H35</f>
        <v>100 м2 оклеиваемой поверхности</v>
      </c>
      <c r="E75" s="28">
        <f>Source!I35</f>
        <v>8.3550000000000004</v>
      </c>
      <c r="F75" s="38"/>
      <c r="G75" s="37"/>
      <c r="H75" s="28"/>
      <c r="I75" s="28"/>
      <c r="J75" s="39"/>
      <c r="K75" s="39"/>
      <c r="Q75">
        <f>ROUND((Source!DN35/100)*ROUND((Source!AF35*Source!AV35)*Source!I35, 2), 2)</f>
        <v>18727.53</v>
      </c>
      <c r="R75">
        <f>Source!X35</f>
        <v>309453.69</v>
      </c>
      <c r="S75">
        <f>ROUND((Source!DO35/100)*ROUND((Source!AF35*Source!AV35)*Source!I35, 2), 2)</f>
        <v>11985.62</v>
      </c>
      <c r="T75">
        <f>Source!Y35</f>
        <v>156637.04999999999</v>
      </c>
      <c r="U75">
        <f>ROUND((175/100)*ROUND((Source!AE35*Source!AV35)*Source!I35, 2), 2)</f>
        <v>20.98</v>
      </c>
      <c r="V75">
        <f>ROUND((157/100)*ROUND(Source!CS35*Source!I35, 2), 2)</f>
        <v>383.99</v>
      </c>
    </row>
    <row r="76" spans="1:22" x14ac:dyDescent="0.2">
      <c r="C76" s="40" t="str">
        <f>"Объем: "&amp;Source!I35&amp;"=835,5/"&amp;"100"</f>
        <v>Объем: 8,355=835,5/100</v>
      </c>
    </row>
    <row r="77" spans="1:22" ht="14.25" x14ac:dyDescent="0.2">
      <c r="A77" s="34"/>
      <c r="B77" s="35"/>
      <c r="C77" s="35" t="s">
        <v>675</v>
      </c>
      <c r="D77" s="36"/>
      <c r="E77" s="28"/>
      <c r="F77" s="38">
        <f>Source!AO35</f>
        <v>1901.57</v>
      </c>
      <c r="G77" s="37" t="str">
        <f>Source!DG35</f>
        <v>)*1,15</v>
      </c>
      <c r="H77" s="28">
        <f>Source!AV35</f>
        <v>1.0249999999999999</v>
      </c>
      <c r="I77" s="28">
        <f>IF(Source!BA35&lt;&gt; 0, Source!BA35, 1)</f>
        <v>20.399999999999999</v>
      </c>
      <c r="J77" s="39">
        <f>Source!S35</f>
        <v>382041.59</v>
      </c>
      <c r="K77" s="39"/>
    </row>
    <row r="78" spans="1:22" ht="14.25" x14ac:dyDescent="0.2">
      <c r="A78" s="34"/>
      <c r="B78" s="35"/>
      <c r="C78" s="35" t="s">
        <v>676</v>
      </c>
      <c r="D78" s="36"/>
      <c r="E78" s="28"/>
      <c r="F78" s="38">
        <f>Source!AM35</f>
        <v>3.74</v>
      </c>
      <c r="G78" s="37" t="str">
        <f>Source!DE35</f>
        <v>)*1,25</v>
      </c>
      <c r="H78" s="28">
        <f>Source!AV35</f>
        <v>1.0249999999999999</v>
      </c>
      <c r="I78" s="28">
        <f>IF(Source!BB35&lt;&gt; 0, Source!BB35, 1)</f>
        <v>9.9</v>
      </c>
      <c r="J78" s="39">
        <f>Source!Q35</f>
        <v>396.36</v>
      </c>
      <c r="K78" s="39"/>
    </row>
    <row r="79" spans="1:22" ht="14.25" x14ac:dyDescent="0.2">
      <c r="A79" s="34"/>
      <c r="B79" s="35"/>
      <c r="C79" s="35" t="s">
        <v>677</v>
      </c>
      <c r="D79" s="36"/>
      <c r="E79" s="28"/>
      <c r="F79" s="38">
        <f>Source!AN35</f>
        <v>1.1200000000000001</v>
      </c>
      <c r="G79" s="37" t="str">
        <f>Source!DF35</f>
        <v>)*1,25</v>
      </c>
      <c r="H79" s="28">
        <f>Source!AV35</f>
        <v>1.0249999999999999</v>
      </c>
      <c r="I79" s="28">
        <f>IF(Source!BS35&lt;&gt; 0, Source!BS35, 1)</f>
        <v>20.399999999999999</v>
      </c>
      <c r="J79" s="41">
        <f>Source!R35</f>
        <v>244.58</v>
      </c>
      <c r="K79" s="39"/>
    </row>
    <row r="80" spans="1:22" ht="14.25" x14ac:dyDescent="0.2">
      <c r="A80" s="34"/>
      <c r="B80" s="35"/>
      <c r="C80" s="35" t="s">
        <v>678</v>
      </c>
      <c r="D80" s="36"/>
      <c r="E80" s="28"/>
      <c r="F80" s="38">
        <f>Source!AL35</f>
        <v>953.15</v>
      </c>
      <c r="G80" s="37" t="str">
        <f>Source!DD35</f>
        <v/>
      </c>
      <c r="H80" s="28">
        <f>Source!AW35</f>
        <v>1</v>
      </c>
      <c r="I80" s="28">
        <f>IF(Source!BC35&lt;&gt; 0, Source!BC35, 1)</f>
        <v>3.12</v>
      </c>
      <c r="J80" s="39">
        <f>Source!P35</f>
        <v>24846.33</v>
      </c>
      <c r="K80" s="39"/>
    </row>
    <row r="81" spans="1:22" ht="42.75" x14ac:dyDescent="0.2">
      <c r="A81" s="34" t="str">
        <f>Source!E36</f>
        <v>4,1</v>
      </c>
      <c r="B81" s="35" t="str">
        <f>Source!F36</f>
        <v>1.1-1-438</v>
      </c>
      <c r="C81" s="35" t="s">
        <v>76</v>
      </c>
      <c r="D81" s="36" t="str">
        <f>Source!H36</f>
        <v>т</v>
      </c>
      <c r="E81" s="28">
        <f>Source!I36</f>
        <v>0.13367999999999999</v>
      </c>
      <c r="F81" s="38">
        <f>Source!AK36</f>
        <v>22652.13</v>
      </c>
      <c r="G81" s="42" t="s">
        <v>3</v>
      </c>
      <c r="H81" s="28">
        <f>Source!AW36</f>
        <v>1</v>
      </c>
      <c r="I81" s="28">
        <f>IF(Source!BC36&lt;&gt; 0, Source!BC36, 1)</f>
        <v>1.86</v>
      </c>
      <c r="J81" s="39">
        <f>Source!O36</f>
        <v>5632.33</v>
      </c>
      <c r="K81" s="39"/>
      <c r="Q81">
        <f>ROUND((Source!DN36/100)*ROUND((Source!AF36*Source!AV36)*Source!I36, 2), 2)</f>
        <v>0</v>
      </c>
      <c r="R81">
        <f>Source!X36</f>
        <v>0</v>
      </c>
      <c r="S81">
        <f>ROUND((Source!DO36/100)*ROUND((Source!AF36*Source!AV36)*Source!I36, 2), 2)</f>
        <v>0</v>
      </c>
      <c r="T81">
        <f>Source!Y36</f>
        <v>0</v>
      </c>
      <c r="U81">
        <f>ROUND((175/100)*ROUND((Source!AE36*Source!AV36)*Source!I36, 2), 2)</f>
        <v>0</v>
      </c>
      <c r="V81">
        <f>ROUND((157/100)*ROUND(Source!CS36*Source!I36, 2), 2)</f>
        <v>0</v>
      </c>
    </row>
    <row r="82" spans="1:22" ht="57" x14ac:dyDescent="0.2">
      <c r="A82" s="34" t="str">
        <f>Source!E37</f>
        <v>4,2</v>
      </c>
      <c r="B82" s="35" t="str">
        <f>Source!F37</f>
        <v>1.3-2-45</v>
      </c>
      <c r="C82" s="35" t="s">
        <v>81</v>
      </c>
      <c r="D82" s="36" t="str">
        <f>Source!H37</f>
        <v>кг</v>
      </c>
      <c r="E82" s="28">
        <f>Source!I37</f>
        <v>1002.6</v>
      </c>
      <c r="F82" s="38">
        <f>Source!AK37</f>
        <v>13.89</v>
      </c>
      <c r="G82" s="42" t="s">
        <v>3</v>
      </c>
      <c r="H82" s="28">
        <f>Source!AW37</f>
        <v>1</v>
      </c>
      <c r="I82" s="28">
        <f>IF(Source!BC37&lt;&gt; 0, Source!BC37, 1)</f>
        <v>1.55</v>
      </c>
      <c r="J82" s="39">
        <f>Source!O37</f>
        <v>21585.48</v>
      </c>
      <c r="K82" s="39"/>
      <c r="Q82">
        <f>ROUND((Source!DN37/100)*ROUND((Source!AF37*Source!AV37)*Source!I37, 2), 2)</f>
        <v>0</v>
      </c>
      <c r="R82">
        <f>Source!X37</f>
        <v>0</v>
      </c>
      <c r="S82">
        <f>ROUND((Source!DO37/100)*ROUND((Source!AF37*Source!AV37)*Source!I37, 2), 2)</f>
        <v>0</v>
      </c>
      <c r="T82">
        <f>Source!Y37</f>
        <v>0</v>
      </c>
      <c r="U82">
        <f>ROUND((175/100)*ROUND((Source!AE37*Source!AV37)*Source!I37, 2), 2)</f>
        <v>0</v>
      </c>
      <c r="V82">
        <f>ROUND((157/100)*ROUND(Source!CS37*Source!I37, 2), 2)</f>
        <v>0</v>
      </c>
    </row>
    <row r="83" spans="1:22" ht="28.5" x14ac:dyDescent="0.2">
      <c r="A83" s="34" t="str">
        <f>Source!E38</f>
        <v>4,3</v>
      </c>
      <c r="B83" s="35" t="str">
        <f>Source!F38</f>
        <v>1.1-1-1820</v>
      </c>
      <c r="C83" s="35" t="s">
        <v>85</v>
      </c>
      <c r="D83" s="36" t="str">
        <f>Source!H38</f>
        <v>м2</v>
      </c>
      <c r="E83" s="28">
        <f>Source!I38</f>
        <v>935.76</v>
      </c>
      <c r="F83" s="38">
        <f>Source!AK38</f>
        <v>16.38</v>
      </c>
      <c r="G83" s="42" t="s">
        <v>3</v>
      </c>
      <c r="H83" s="28">
        <f>Source!AW38</f>
        <v>1</v>
      </c>
      <c r="I83" s="28">
        <f>IF(Source!BC38&lt;&gt; 0, Source!BC38, 1)</f>
        <v>4</v>
      </c>
      <c r="J83" s="39">
        <f>Source!O38</f>
        <v>61311</v>
      </c>
      <c r="K83" s="39"/>
      <c r="Q83">
        <f>ROUND((Source!DN38/100)*ROUND((Source!AF38*Source!AV38)*Source!I38, 2), 2)</f>
        <v>0</v>
      </c>
      <c r="R83">
        <f>Source!X38</f>
        <v>0</v>
      </c>
      <c r="S83">
        <f>ROUND((Source!DO38/100)*ROUND((Source!AF38*Source!AV38)*Source!I38, 2), 2)</f>
        <v>0</v>
      </c>
      <c r="T83">
        <f>Source!Y38</f>
        <v>0</v>
      </c>
      <c r="U83">
        <f>ROUND((175/100)*ROUND((Source!AE38*Source!AV38)*Source!I38, 2), 2)</f>
        <v>0</v>
      </c>
      <c r="V83">
        <f>ROUND((157/100)*ROUND(Source!CS38*Source!I38, 2), 2)</f>
        <v>0</v>
      </c>
    </row>
    <row r="84" spans="1:22" ht="14.25" x14ac:dyDescent="0.2">
      <c r="A84" s="34"/>
      <c r="B84" s="35"/>
      <c r="C84" s="35" t="s">
        <v>679</v>
      </c>
      <c r="D84" s="36" t="s">
        <v>680</v>
      </c>
      <c r="E84" s="28">
        <f>Source!BZ35</f>
        <v>81</v>
      </c>
      <c r="F84" s="38"/>
      <c r="G84" s="37"/>
      <c r="H84" s="28"/>
      <c r="I84" s="28"/>
      <c r="J84" s="39">
        <f>SUM(R75:R83)</f>
        <v>309453.69</v>
      </c>
      <c r="K84" s="39"/>
    </row>
    <row r="85" spans="1:22" ht="14.25" x14ac:dyDescent="0.2">
      <c r="A85" s="34"/>
      <c r="B85" s="35"/>
      <c r="C85" s="35" t="s">
        <v>681</v>
      </c>
      <c r="D85" s="36" t="s">
        <v>680</v>
      </c>
      <c r="E85" s="28">
        <f>Source!CA35</f>
        <v>41</v>
      </c>
      <c r="F85" s="38"/>
      <c r="G85" s="37"/>
      <c r="H85" s="28"/>
      <c r="I85" s="28"/>
      <c r="J85" s="39">
        <f>SUM(T75:T84)</f>
        <v>156637.04999999999</v>
      </c>
      <c r="K85" s="39"/>
    </row>
    <row r="86" spans="1:22" ht="14.25" x14ac:dyDescent="0.2">
      <c r="A86" s="34"/>
      <c r="B86" s="35"/>
      <c r="C86" s="35" t="s">
        <v>682</v>
      </c>
      <c r="D86" s="36" t="s">
        <v>680</v>
      </c>
      <c r="E86" s="28">
        <f>157</f>
        <v>157</v>
      </c>
      <c r="F86" s="38"/>
      <c r="G86" s="37"/>
      <c r="H86" s="28"/>
      <c r="I86" s="28"/>
      <c r="J86" s="39">
        <f>SUM(V75:V85)</f>
        <v>383.99</v>
      </c>
      <c r="K86" s="39"/>
    </row>
    <row r="87" spans="1:22" ht="14.25" x14ac:dyDescent="0.2">
      <c r="A87" s="46"/>
      <c r="B87" s="47"/>
      <c r="C87" s="47" t="s">
        <v>683</v>
      </c>
      <c r="D87" s="48" t="s">
        <v>684</v>
      </c>
      <c r="E87" s="49">
        <f>Source!AQ35</f>
        <v>157</v>
      </c>
      <c r="F87" s="50"/>
      <c r="G87" s="51" t="str">
        <f>Source!DI35</f>
        <v>)*1,15</v>
      </c>
      <c r="H87" s="49">
        <f>Source!AV35</f>
        <v>1.0249999999999999</v>
      </c>
      <c r="I87" s="49"/>
      <c r="J87" s="52"/>
      <c r="K87" s="52">
        <f>Source!U35</f>
        <v>1546.2076312499998</v>
      </c>
    </row>
    <row r="88" spans="1:22" ht="15" x14ac:dyDescent="0.25">
      <c r="A88" s="53"/>
      <c r="B88" s="53"/>
      <c r="C88" s="54" t="s">
        <v>685</v>
      </c>
      <c r="D88" s="53"/>
      <c r="E88" s="53"/>
      <c r="F88" s="53"/>
      <c r="G88" s="53"/>
      <c r="H88" s="53"/>
      <c r="I88" s="55">
        <f>J77+J78+J80+J84+J85+J86+SUM(J81:J83)</f>
        <v>962287.82000000007</v>
      </c>
      <c r="J88" s="55"/>
      <c r="K88" s="56">
        <f>IF(Source!I35&lt;&gt;0, ROUND(I88/Source!I35, 2), 0)</f>
        <v>115175.08</v>
      </c>
      <c r="P88" s="43">
        <f>J77+J78+J80+J84+J85+J86+SUM(J81:J83)</f>
        <v>962287.82000000007</v>
      </c>
    </row>
    <row r="90" spans="1:22" ht="71.25" x14ac:dyDescent="0.2">
      <c r="A90" s="34" t="str">
        <f>Source!E39</f>
        <v>5</v>
      </c>
      <c r="B90" s="35" t="str">
        <f>Source!F39</f>
        <v>3.15-140-3</v>
      </c>
      <c r="C90" s="35" t="s">
        <v>89</v>
      </c>
      <c r="D90" s="36" t="str">
        <f>Source!H39</f>
        <v>100 м2 окрашиваемой поверхности</v>
      </c>
      <c r="E90" s="28">
        <f>Source!I39</f>
        <v>8.3550000000000004</v>
      </c>
      <c r="F90" s="38"/>
      <c r="G90" s="37"/>
      <c r="H90" s="28"/>
      <c r="I90" s="28"/>
      <c r="J90" s="39"/>
      <c r="K90" s="39"/>
      <c r="Q90">
        <f>ROUND((Source!DN39/100)*ROUND((Source!AF39*Source!AV39)*Source!I39, 2), 2)</f>
        <v>650.39</v>
      </c>
      <c r="R90">
        <f>Source!X39</f>
        <v>10747.08</v>
      </c>
      <c r="S90">
        <f>ROUND((Source!DO39/100)*ROUND((Source!AF39*Source!AV39)*Source!I39, 2), 2)</f>
        <v>416.25</v>
      </c>
      <c r="T90">
        <f>Source!Y39</f>
        <v>5439.88</v>
      </c>
      <c r="U90">
        <f>ROUND((175/100)*ROUND((Source!AE39*Source!AV39)*Source!I39, 2), 2)</f>
        <v>0</v>
      </c>
      <c r="V90">
        <f>ROUND((157/100)*ROUND(Source!CS39*Source!I39, 2), 2)</f>
        <v>0</v>
      </c>
    </row>
    <row r="91" spans="1:22" x14ac:dyDescent="0.2">
      <c r="C91" s="40" t="str">
        <f>"Объем: "&amp;Source!I39&amp;"=835,5/"&amp;"100"</f>
        <v>Объем: 8,355=835,5/100</v>
      </c>
    </row>
    <row r="92" spans="1:22" ht="14.25" x14ac:dyDescent="0.2">
      <c r="A92" s="34"/>
      <c r="B92" s="35"/>
      <c r="C92" s="35" t="s">
        <v>675</v>
      </c>
      <c r="D92" s="36"/>
      <c r="E92" s="28"/>
      <c r="F92" s="38">
        <f>Source!AO39</f>
        <v>66.040000000000006</v>
      </c>
      <c r="G92" s="37" t="str">
        <f>Source!DG39</f>
        <v>)*1,15</v>
      </c>
      <c r="H92" s="28">
        <f>Source!AV39</f>
        <v>1.0249999999999999</v>
      </c>
      <c r="I92" s="28">
        <f>IF(Source!BA39&lt;&gt; 0, Source!BA39, 1)</f>
        <v>20.399999999999999</v>
      </c>
      <c r="J92" s="39">
        <f>Source!S39</f>
        <v>13268</v>
      </c>
      <c r="K92" s="39"/>
    </row>
    <row r="93" spans="1:22" ht="42.75" x14ac:dyDescent="0.2">
      <c r="A93" s="34" t="str">
        <f>Source!E40</f>
        <v>5,1</v>
      </c>
      <c r="B93" s="35" t="str">
        <f>Source!F40</f>
        <v>1.1-1-438</v>
      </c>
      <c r="C93" s="35" t="s">
        <v>76</v>
      </c>
      <c r="D93" s="36" t="str">
        <f>Source!H40</f>
        <v>т</v>
      </c>
      <c r="E93" s="28">
        <f>Source!I40</f>
        <v>0.12532499999999999</v>
      </c>
      <c r="F93" s="38">
        <f>Source!AK40</f>
        <v>22652.13</v>
      </c>
      <c r="G93" s="42" t="s">
        <v>3</v>
      </c>
      <c r="H93" s="28">
        <f>Source!AW40</f>
        <v>1</v>
      </c>
      <c r="I93" s="28">
        <f>IF(Source!BC40&lt;&gt; 0, Source!BC40, 1)</f>
        <v>1.86</v>
      </c>
      <c r="J93" s="39">
        <f>Source!O40</f>
        <v>5280.31</v>
      </c>
      <c r="K93" s="39"/>
      <c r="Q93">
        <f>ROUND((Source!DN40/100)*ROUND((Source!AF40*Source!AV40)*Source!I40, 2), 2)</f>
        <v>0</v>
      </c>
      <c r="R93">
        <f>Source!X40</f>
        <v>0</v>
      </c>
      <c r="S93">
        <f>ROUND((Source!DO40/100)*ROUND((Source!AF40*Source!AV40)*Source!I40, 2), 2)</f>
        <v>0</v>
      </c>
      <c r="T93">
        <f>Source!Y40</f>
        <v>0</v>
      </c>
      <c r="U93">
        <f>ROUND((175/100)*ROUND((Source!AE40*Source!AV40)*Source!I40, 2), 2)</f>
        <v>0</v>
      </c>
      <c r="V93">
        <f>ROUND((157/100)*ROUND(Source!CS40*Source!I40, 2), 2)</f>
        <v>0</v>
      </c>
    </row>
    <row r="94" spans="1:22" ht="14.25" x14ac:dyDescent="0.2">
      <c r="A94" s="34"/>
      <c r="B94" s="35"/>
      <c r="C94" s="35" t="s">
        <v>679</v>
      </c>
      <c r="D94" s="36" t="s">
        <v>680</v>
      </c>
      <c r="E94" s="28">
        <f>Source!BZ39</f>
        <v>81</v>
      </c>
      <c r="F94" s="38"/>
      <c r="G94" s="37"/>
      <c r="H94" s="28"/>
      <c r="I94" s="28"/>
      <c r="J94" s="39">
        <f>SUM(R90:R93)</f>
        <v>10747.08</v>
      </c>
      <c r="K94" s="39"/>
    </row>
    <row r="95" spans="1:22" ht="14.25" x14ac:dyDescent="0.2">
      <c r="A95" s="34"/>
      <c r="B95" s="35"/>
      <c r="C95" s="35" t="s">
        <v>681</v>
      </c>
      <c r="D95" s="36" t="s">
        <v>680</v>
      </c>
      <c r="E95" s="28">
        <f>Source!CA39</f>
        <v>41</v>
      </c>
      <c r="F95" s="38"/>
      <c r="G95" s="37"/>
      <c r="H95" s="28"/>
      <c r="I95" s="28"/>
      <c r="J95" s="39">
        <f>SUM(T90:T94)</f>
        <v>5439.88</v>
      </c>
      <c r="K95" s="39"/>
    </row>
    <row r="96" spans="1:22" ht="14.25" x14ac:dyDescent="0.2">
      <c r="A96" s="46"/>
      <c r="B96" s="47"/>
      <c r="C96" s="47" t="s">
        <v>683</v>
      </c>
      <c r="D96" s="48" t="s">
        <v>684</v>
      </c>
      <c r="E96" s="49">
        <f>Source!AQ39</f>
        <v>5.49</v>
      </c>
      <c r="F96" s="50"/>
      <c r="G96" s="51" t="str">
        <f>Source!DI39</f>
        <v>)*1,15</v>
      </c>
      <c r="H96" s="49">
        <f>Source!AV39</f>
        <v>1.0249999999999999</v>
      </c>
      <c r="I96" s="49"/>
      <c r="J96" s="52"/>
      <c r="K96" s="52">
        <f>Source!U39</f>
        <v>54.068024812499992</v>
      </c>
    </row>
    <row r="97" spans="1:22" ht="15" x14ac:dyDescent="0.25">
      <c r="A97" s="53"/>
      <c r="B97" s="53"/>
      <c r="C97" s="54" t="s">
        <v>685</v>
      </c>
      <c r="D97" s="53"/>
      <c r="E97" s="53"/>
      <c r="F97" s="53"/>
      <c r="G97" s="53"/>
      <c r="H97" s="53"/>
      <c r="I97" s="55">
        <f>J92+J94+J95+SUM(J93:J93)</f>
        <v>34735.270000000004</v>
      </c>
      <c r="J97" s="55"/>
      <c r="K97" s="56">
        <f>IF(Source!I39&lt;&gt;0, ROUND(I97/Source!I39, 2), 0)</f>
        <v>4157.42</v>
      </c>
      <c r="P97" s="43">
        <f>J92+J94+J95+SUM(J93:J93)</f>
        <v>34735.270000000004</v>
      </c>
    </row>
    <row r="99" spans="1:22" ht="42.75" x14ac:dyDescent="0.2">
      <c r="A99" s="34" t="str">
        <f>Source!E41</f>
        <v>6</v>
      </c>
      <c r="B99" s="35" t="str">
        <f>Source!F41</f>
        <v>3.9-49-1</v>
      </c>
      <c r="C99" s="35" t="s">
        <v>95</v>
      </c>
      <c r="D99" s="36" t="str">
        <f>Source!H41</f>
        <v>1 т конструкций</v>
      </c>
      <c r="E99" s="28">
        <f>Source!I41</f>
        <v>0.98750000000000004</v>
      </c>
      <c r="F99" s="38"/>
      <c r="G99" s="37"/>
      <c r="H99" s="28"/>
      <c r="I99" s="28"/>
      <c r="J99" s="39"/>
      <c r="K99" s="39"/>
      <c r="Q99">
        <f>ROUND((Source!DN41/100)*ROUND((Source!AF41*Source!AV41)*Source!I41, 2), 2)</f>
        <v>909.96</v>
      </c>
      <c r="R99">
        <f>Source!X41</f>
        <v>14850.56</v>
      </c>
      <c r="S99">
        <f>ROUND((Source!DO41/100)*ROUND((Source!AF41*Source!AV41)*Source!I41, 2), 2)</f>
        <v>749.38</v>
      </c>
      <c r="T99">
        <f>Source!Y41</f>
        <v>8954.01</v>
      </c>
      <c r="U99">
        <f>ROUND((175/100)*ROUND((Source!AE41*Source!AV41)*Source!I41, 2), 2)</f>
        <v>34.549999999999997</v>
      </c>
      <c r="V99">
        <f>ROUND((157/100)*ROUND(Source!CS41*Source!I41, 2), 2)</f>
        <v>632.14</v>
      </c>
    </row>
    <row r="100" spans="1:22" x14ac:dyDescent="0.2">
      <c r="C100" s="40" t="str">
        <f>"Объем: "&amp;Source!I41&amp;"=2,5*"&amp;"395/"&amp;"1000"</f>
        <v>Объем: 0,9875=2,5*395/1000</v>
      </c>
    </row>
    <row r="101" spans="1:22" ht="14.25" x14ac:dyDescent="0.2">
      <c r="A101" s="34"/>
      <c r="B101" s="35"/>
      <c r="C101" s="35" t="s">
        <v>675</v>
      </c>
      <c r="D101" s="36"/>
      <c r="E101" s="28"/>
      <c r="F101" s="38">
        <f>Source!AO41</f>
        <v>867.24</v>
      </c>
      <c r="G101" s="37" t="str">
        <f>Source!DG41</f>
        <v>)*1,15</v>
      </c>
      <c r="H101" s="28">
        <f>Source!AV41</f>
        <v>1.087</v>
      </c>
      <c r="I101" s="28">
        <f>IF(Source!BA41&lt;&gt; 0, Source!BA41, 1)</f>
        <v>20.399999999999999</v>
      </c>
      <c r="J101" s="39">
        <f>Source!S41</f>
        <v>21839.06</v>
      </c>
      <c r="K101" s="39"/>
    </row>
    <row r="102" spans="1:22" ht="14.25" x14ac:dyDescent="0.2">
      <c r="A102" s="34"/>
      <c r="B102" s="35"/>
      <c r="C102" s="35" t="s">
        <v>676</v>
      </c>
      <c r="D102" s="36"/>
      <c r="E102" s="28"/>
      <c r="F102" s="38">
        <f>Source!AM41</f>
        <v>131.58000000000001</v>
      </c>
      <c r="G102" s="37" t="str">
        <f>Source!DE41</f>
        <v>)*1,25</v>
      </c>
      <c r="H102" s="28">
        <f>Source!AV41</f>
        <v>1.087</v>
      </c>
      <c r="I102" s="28">
        <f>IF(Source!BB41&lt;&gt; 0, Source!BB41, 1)</f>
        <v>9.5299999999999994</v>
      </c>
      <c r="J102" s="39">
        <f>Source!Q41</f>
        <v>1682.52</v>
      </c>
      <c r="K102" s="39"/>
    </row>
    <row r="103" spans="1:22" ht="14.25" x14ac:dyDescent="0.2">
      <c r="A103" s="34"/>
      <c r="B103" s="35"/>
      <c r="C103" s="35" t="s">
        <v>677</v>
      </c>
      <c r="D103" s="36"/>
      <c r="E103" s="28"/>
      <c r="F103" s="38">
        <f>Source!AN41</f>
        <v>14.71</v>
      </c>
      <c r="G103" s="37" t="str">
        <f>Source!DF41</f>
        <v>)*1,25</v>
      </c>
      <c r="H103" s="28">
        <f>Source!AV41</f>
        <v>1.087</v>
      </c>
      <c r="I103" s="28">
        <f>IF(Source!BS41&lt;&gt; 0, Source!BS41, 1)</f>
        <v>20.399999999999999</v>
      </c>
      <c r="J103" s="41">
        <f>Source!R41</f>
        <v>402.64</v>
      </c>
      <c r="K103" s="39"/>
    </row>
    <row r="104" spans="1:22" ht="14.25" x14ac:dyDescent="0.2">
      <c r="A104" s="34"/>
      <c r="B104" s="35"/>
      <c r="C104" s="35" t="s">
        <v>678</v>
      </c>
      <c r="D104" s="36"/>
      <c r="E104" s="28"/>
      <c r="F104" s="38">
        <f>Source!AL41</f>
        <v>432.39</v>
      </c>
      <c r="G104" s="37" t="str">
        <f>Source!DD41</f>
        <v/>
      </c>
      <c r="H104" s="28">
        <f>Source!AW41</f>
        <v>1</v>
      </c>
      <c r="I104" s="28">
        <f>IF(Source!BC41&lt;&gt; 0, Source!BC41, 1)</f>
        <v>8.6</v>
      </c>
      <c r="J104" s="39">
        <f>Source!P41</f>
        <v>3672.07</v>
      </c>
      <c r="K104" s="39"/>
    </row>
    <row r="105" spans="1:22" ht="28.5" x14ac:dyDescent="0.2">
      <c r="A105" s="34" t="str">
        <f>Source!E42</f>
        <v>6,1</v>
      </c>
      <c r="B105" s="35" t="str">
        <f>Source!F42</f>
        <v>1.6-1-291</v>
      </c>
      <c r="C105" s="35" t="s">
        <v>102</v>
      </c>
      <c r="D105" s="36" t="str">
        <f>Source!H42</f>
        <v>т</v>
      </c>
      <c r="E105" s="28">
        <f>Source!I42</f>
        <v>0.98750000000000004</v>
      </c>
      <c r="F105" s="38">
        <f>Source!AK42</f>
        <v>19485.54</v>
      </c>
      <c r="G105" s="42" t="s">
        <v>3</v>
      </c>
      <c r="H105" s="28">
        <f>Source!AW42</f>
        <v>1</v>
      </c>
      <c r="I105" s="28">
        <f>IF(Source!BC42&lt;&gt; 0, Source!BC42, 1)</f>
        <v>3.27</v>
      </c>
      <c r="J105" s="39">
        <f>Source!O42</f>
        <v>62921.24</v>
      </c>
      <c r="K105" s="39"/>
      <c r="Q105">
        <f>ROUND((Source!DN42/100)*ROUND((Source!AF42*Source!AV42)*Source!I42, 2), 2)</f>
        <v>0</v>
      </c>
      <c r="R105">
        <f>Source!X42</f>
        <v>0</v>
      </c>
      <c r="S105">
        <f>ROUND((Source!DO42/100)*ROUND((Source!AF42*Source!AV42)*Source!I42, 2), 2)</f>
        <v>0</v>
      </c>
      <c r="T105">
        <f>Source!Y42</f>
        <v>0</v>
      </c>
      <c r="U105">
        <f>ROUND((175/100)*ROUND((Source!AE42*Source!AV42)*Source!I42, 2), 2)</f>
        <v>0</v>
      </c>
      <c r="V105">
        <f>ROUND((157/100)*ROUND(Source!CS42*Source!I42, 2), 2)</f>
        <v>0</v>
      </c>
    </row>
    <row r="106" spans="1:22" ht="14.25" x14ac:dyDescent="0.2">
      <c r="A106" s="34"/>
      <c r="B106" s="35"/>
      <c r="C106" s="35" t="s">
        <v>679</v>
      </c>
      <c r="D106" s="36" t="s">
        <v>680</v>
      </c>
      <c r="E106" s="28">
        <f>Source!BZ41</f>
        <v>68</v>
      </c>
      <c r="F106" s="38"/>
      <c r="G106" s="37"/>
      <c r="H106" s="28"/>
      <c r="I106" s="28"/>
      <c r="J106" s="39">
        <f>SUM(R99:R105)</f>
        <v>14850.56</v>
      </c>
      <c r="K106" s="39"/>
    </row>
    <row r="107" spans="1:22" ht="14.25" x14ac:dyDescent="0.2">
      <c r="A107" s="34"/>
      <c r="B107" s="35"/>
      <c r="C107" s="35" t="s">
        <v>681</v>
      </c>
      <c r="D107" s="36" t="s">
        <v>680</v>
      </c>
      <c r="E107" s="28">
        <f>Source!CA41</f>
        <v>41</v>
      </c>
      <c r="F107" s="38"/>
      <c r="G107" s="37"/>
      <c r="H107" s="28"/>
      <c r="I107" s="28"/>
      <c r="J107" s="39">
        <f>SUM(T99:T106)</f>
        <v>8954.01</v>
      </c>
      <c r="K107" s="39"/>
    </row>
    <row r="108" spans="1:22" ht="14.25" x14ac:dyDescent="0.2">
      <c r="A108" s="34"/>
      <c r="B108" s="35"/>
      <c r="C108" s="35" t="s">
        <v>682</v>
      </c>
      <c r="D108" s="36" t="s">
        <v>680</v>
      </c>
      <c r="E108" s="28">
        <f>157</f>
        <v>157</v>
      </c>
      <c r="F108" s="38"/>
      <c r="G108" s="37"/>
      <c r="H108" s="28"/>
      <c r="I108" s="28"/>
      <c r="J108" s="39">
        <f>SUM(V99:V107)</f>
        <v>632.14</v>
      </c>
      <c r="K108" s="39"/>
    </row>
    <row r="109" spans="1:22" ht="14.25" x14ac:dyDescent="0.2">
      <c r="A109" s="46"/>
      <c r="B109" s="47"/>
      <c r="C109" s="47" t="s">
        <v>683</v>
      </c>
      <c r="D109" s="48" t="s">
        <v>684</v>
      </c>
      <c r="E109" s="49">
        <f>Source!AQ41</f>
        <v>65.7</v>
      </c>
      <c r="F109" s="50"/>
      <c r="G109" s="51" t="str">
        <f>Source!DI41</f>
        <v>)*1,15</v>
      </c>
      <c r="H109" s="49">
        <f>Source!AV41</f>
        <v>1.087</v>
      </c>
      <c r="I109" s="49"/>
      <c r="J109" s="52"/>
      <c r="K109" s="52">
        <f>Source!U41</f>
        <v>81.101681437499991</v>
      </c>
    </row>
    <row r="110" spans="1:22" ht="15" x14ac:dyDescent="0.25">
      <c r="A110" s="53"/>
      <c r="B110" s="53"/>
      <c r="C110" s="54" t="s">
        <v>685</v>
      </c>
      <c r="D110" s="53"/>
      <c r="E110" s="53"/>
      <c r="F110" s="53"/>
      <c r="G110" s="53"/>
      <c r="H110" s="53"/>
      <c r="I110" s="55">
        <f>J101+J102+J104+J106+J107+J108+SUM(J105:J105)</f>
        <v>114551.6</v>
      </c>
      <c r="J110" s="55"/>
      <c r="K110" s="56">
        <f>IF(Source!I41&lt;&gt;0, ROUND(I110/Source!I41, 2), 0)</f>
        <v>116001.62</v>
      </c>
      <c r="P110" s="43">
        <f>J101+J102+J104+J106+J107+J108+SUM(J105:J105)</f>
        <v>114551.6</v>
      </c>
    </row>
    <row r="112" spans="1:22" ht="71.25" x14ac:dyDescent="0.2">
      <c r="A112" s="34" t="str">
        <f>Source!E43</f>
        <v>7</v>
      </c>
      <c r="B112" s="35" t="str">
        <f>Source!F43</f>
        <v>3.15-29-1</v>
      </c>
      <c r="C112" s="35" t="s">
        <v>106</v>
      </c>
      <c r="D112" s="36" t="str">
        <f>Source!H43</f>
        <v>100 м2</v>
      </c>
      <c r="E112" s="28">
        <f>Source!I43</f>
        <v>3.95</v>
      </c>
      <c r="F112" s="38"/>
      <c r="G112" s="37"/>
      <c r="H112" s="28"/>
      <c r="I112" s="28"/>
      <c r="J112" s="39"/>
      <c r="K112" s="39"/>
      <c r="Q112">
        <f>ROUND((Source!DN43/100)*ROUND((Source!AF43*Source!AV43)*Source!I43, 2), 2)</f>
        <v>9751.66</v>
      </c>
      <c r="R112">
        <f>Source!X43</f>
        <v>161136.39000000001</v>
      </c>
      <c r="S112">
        <f>ROUND((Source!DO43/100)*ROUND((Source!AF43*Source!AV43)*Source!I43, 2), 2)</f>
        <v>6241.06</v>
      </c>
      <c r="T112">
        <f>Source!Y43</f>
        <v>81562.86</v>
      </c>
      <c r="U112">
        <f>ROUND((175/100)*ROUND((Source!AE43*Source!AV43)*Source!I43, 2), 2)</f>
        <v>34.81</v>
      </c>
      <c r="V112">
        <f>ROUND((157/100)*ROUND(Source!CS43*Source!I43, 2), 2)</f>
        <v>637.03</v>
      </c>
    </row>
    <row r="113" spans="1:22" x14ac:dyDescent="0.2">
      <c r="C113" s="40" t="str">
        <f>"Объем: "&amp;Source!I43&amp;"=395/"&amp;"100"</f>
        <v>Объем: 3,95=395/100</v>
      </c>
    </row>
    <row r="114" spans="1:22" ht="14.25" x14ac:dyDescent="0.2">
      <c r="A114" s="34"/>
      <c r="B114" s="35"/>
      <c r="C114" s="35" t="s">
        <v>675</v>
      </c>
      <c r="D114" s="36"/>
      <c r="E114" s="28"/>
      <c r="F114" s="38">
        <f>Source!AO43</f>
        <v>2094.4</v>
      </c>
      <c r="G114" s="37" t="str">
        <f>Source!DG43</f>
        <v>)*1,15</v>
      </c>
      <c r="H114" s="28">
        <f>Source!AV43</f>
        <v>1.0249999999999999</v>
      </c>
      <c r="I114" s="28">
        <f>IF(Source!BA43&lt;&gt; 0, Source!BA43, 1)</f>
        <v>20.399999999999999</v>
      </c>
      <c r="J114" s="39">
        <f>Source!S43</f>
        <v>198933.81</v>
      </c>
      <c r="K114" s="39"/>
    </row>
    <row r="115" spans="1:22" ht="14.25" x14ac:dyDescent="0.2">
      <c r="A115" s="34"/>
      <c r="B115" s="35"/>
      <c r="C115" s="35" t="s">
        <v>676</v>
      </c>
      <c r="D115" s="36"/>
      <c r="E115" s="28"/>
      <c r="F115" s="38">
        <f>Source!AM43</f>
        <v>19.66</v>
      </c>
      <c r="G115" s="37" t="str">
        <f>Source!DE43</f>
        <v>)*1,25</v>
      </c>
      <c r="H115" s="28">
        <f>Source!AV43</f>
        <v>1.0249999999999999</v>
      </c>
      <c r="I115" s="28">
        <f>IF(Source!BB43&lt;&gt; 0, Source!BB43, 1)</f>
        <v>8.41</v>
      </c>
      <c r="J115" s="39">
        <f>Source!Q43</f>
        <v>836.78</v>
      </c>
      <c r="K115" s="39"/>
    </row>
    <row r="116" spans="1:22" ht="14.25" x14ac:dyDescent="0.2">
      <c r="A116" s="34"/>
      <c r="B116" s="35"/>
      <c r="C116" s="35" t="s">
        <v>677</v>
      </c>
      <c r="D116" s="36"/>
      <c r="E116" s="28"/>
      <c r="F116" s="38">
        <f>Source!AN43</f>
        <v>3.93</v>
      </c>
      <c r="G116" s="37" t="str">
        <f>Source!DF43</f>
        <v>)*1,25</v>
      </c>
      <c r="H116" s="28">
        <f>Source!AV43</f>
        <v>1.0249999999999999</v>
      </c>
      <c r="I116" s="28">
        <f>IF(Source!BS43&lt;&gt; 0, Source!BS43, 1)</f>
        <v>20.399999999999999</v>
      </c>
      <c r="J116" s="41">
        <f>Source!R43</f>
        <v>405.75</v>
      </c>
      <c r="K116" s="39"/>
    </row>
    <row r="117" spans="1:22" ht="14.25" x14ac:dyDescent="0.2">
      <c r="A117" s="34"/>
      <c r="B117" s="35"/>
      <c r="C117" s="35" t="s">
        <v>678</v>
      </c>
      <c r="D117" s="36"/>
      <c r="E117" s="28"/>
      <c r="F117" s="38">
        <f>Source!AL43</f>
        <v>51.82</v>
      </c>
      <c r="G117" s="37" t="str">
        <f>Source!DD43</f>
        <v/>
      </c>
      <c r="H117" s="28">
        <f>Source!AW43</f>
        <v>1</v>
      </c>
      <c r="I117" s="28">
        <f>IF(Source!BC43&lt;&gt; 0, Source!BC43, 1)</f>
        <v>4.6900000000000004</v>
      </c>
      <c r="J117" s="39">
        <f>Source!P43</f>
        <v>959.99</v>
      </c>
      <c r="K117" s="39"/>
    </row>
    <row r="118" spans="1:22" ht="28.5" x14ac:dyDescent="0.2">
      <c r="A118" s="34" t="str">
        <f>Source!E44</f>
        <v>7,1</v>
      </c>
      <c r="B118" s="35" t="str">
        <f>Source!F44</f>
        <v>1.1-1-863</v>
      </c>
      <c r="C118" s="35" t="s">
        <v>112</v>
      </c>
      <c r="D118" s="36" t="str">
        <f>Source!H44</f>
        <v>КОМПЛЕКТ</v>
      </c>
      <c r="E118" s="28">
        <f>Source!I44</f>
        <v>395</v>
      </c>
      <c r="F118" s="38">
        <f>Source!AK44</f>
        <v>21.28</v>
      </c>
      <c r="G118" s="42" t="s">
        <v>3</v>
      </c>
      <c r="H118" s="28">
        <f>Source!AW44</f>
        <v>1</v>
      </c>
      <c r="I118" s="28">
        <f>IF(Source!BC44&lt;&gt; 0, Source!BC44, 1)</f>
        <v>2.99</v>
      </c>
      <c r="J118" s="39">
        <f>Source!O44</f>
        <v>25132.74</v>
      </c>
      <c r="K118" s="39"/>
      <c r="Q118">
        <f>ROUND((Source!DN44/100)*ROUND((Source!AF44*Source!AV44)*Source!I44, 2), 2)</f>
        <v>0</v>
      </c>
      <c r="R118">
        <f>Source!X44</f>
        <v>0</v>
      </c>
      <c r="S118">
        <f>ROUND((Source!DO44/100)*ROUND((Source!AF44*Source!AV44)*Source!I44, 2), 2)</f>
        <v>0</v>
      </c>
      <c r="T118">
        <f>Source!Y44</f>
        <v>0</v>
      </c>
      <c r="U118">
        <f>ROUND((175/100)*ROUND((Source!AE44*Source!AV44)*Source!I44, 2), 2)</f>
        <v>0</v>
      </c>
      <c r="V118">
        <f>ROUND((157/100)*ROUND(Source!CS44*Source!I44, 2), 2)</f>
        <v>0</v>
      </c>
    </row>
    <row r="119" spans="1:22" ht="14.25" x14ac:dyDescent="0.2">
      <c r="A119" s="34"/>
      <c r="B119" s="35"/>
      <c r="C119" s="35" t="s">
        <v>679</v>
      </c>
      <c r="D119" s="36" t="s">
        <v>680</v>
      </c>
      <c r="E119" s="28">
        <f>Source!BZ43</f>
        <v>81</v>
      </c>
      <c r="F119" s="38"/>
      <c r="G119" s="37"/>
      <c r="H119" s="28"/>
      <c r="I119" s="28"/>
      <c r="J119" s="39">
        <f>SUM(R112:R118)</f>
        <v>161136.39000000001</v>
      </c>
      <c r="K119" s="39"/>
    </row>
    <row r="120" spans="1:22" ht="14.25" x14ac:dyDescent="0.2">
      <c r="A120" s="34"/>
      <c r="B120" s="35"/>
      <c r="C120" s="35" t="s">
        <v>681</v>
      </c>
      <c r="D120" s="36" t="s">
        <v>680</v>
      </c>
      <c r="E120" s="28">
        <f>Source!CA43</f>
        <v>41</v>
      </c>
      <c r="F120" s="38"/>
      <c r="G120" s="37"/>
      <c r="H120" s="28"/>
      <c r="I120" s="28"/>
      <c r="J120" s="39">
        <f>SUM(T112:T119)</f>
        <v>81562.86</v>
      </c>
      <c r="K120" s="39"/>
    </row>
    <row r="121" spans="1:22" ht="14.25" x14ac:dyDescent="0.2">
      <c r="A121" s="34"/>
      <c r="B121" s="35"/>
      <c r="C121" s="35" t="s">
        <v>682</v>
      </c>
      <c r="D121" s="36" t="s">
        <v>680</v>
      </c>
      <c r="E121" s="28">
        <f>157</f>
        <v>157</v>
      </c>
      <c r="F121" s="38"/>
      <c r="G121" s="37"/>
      <c r="H121" s="28"/>
      <c r="I121" s="28"/>
      <c r="J121" s="39">
        <f>SUM(V112:V120)</f>
        <v>637.03</v>
      </c>
      <c r="K121" s="39"/>
    </row>
    <row r="122" spans="1:22" ht="14.25" x14ac:dyDescent="0.2">
      <c r="A122" s="46"/>
      <c r="B122" s="47"/>
      <c r="C122" s="47" t="s">
        <v>683</v>
      </c>
      <c r="D122" s="48" t="s">
        <v>684</v>
      </c>
      <c r="E122" s="49">
        <f>Source!AQ43</f>
        <v>176</v>
      </c>
      <c r="F122" s="50"/>
      <c r="G122" s="51" t="str">
        <f>Source!DI43</f>
        <v>)*1,15</v>
      </c>
      <c r="H122" s="49">
        <f>Source!AV43</f>
        <v>1.0249999999999999</v>
      </c>
      <c r="I122" s="49"/>
      <c r="J122" s="52"/>
      <c r="K122" s="52">
        <f>Source!U43</f>
        <v>819.46699999999987</v>
      </c>
    </row>
    <row r="123" spans="1:22" ht="15" x14ac:dyDescent="0.25">
      <c r="A123" s="53"/>
      <c r="B123" s="53"/>
      <c r="C123" s="54" t="s">
        <v>685</v>
      </c>
      <c r="D123" s="53"/>
      <c r="E123" s="53"/>
      <c r="F123" s="53"/>
      <c r="G123" s="53"/>
      <c r="H123" s="53"/>
      <c r="I123" s="55">
        <f>J114+J115+J117+J119+J120+J121+SUM(J118:J118)</f>
        <v>469199.6</v>
      </c>
      <c r="J123" s="55"/>
      <c r="K123" s="56">
        <f>IF(Source!I43&lt;&gt;0, ROUND(I123/Source!I43, 2), 0)</f>
        <v>118784.71</v>
      </c>
      <c r="P123" s="43">
        <f>J114+J115+J117+J119+J120+J121+SUM(J118:J118)</f>
        <v>469199.6</v>
      </c>
    </row>
    <row r="125" spans="1:22" ht="28.5" x14ac:dyDescent="0.2">
      <c r="A125" s="34" t="str">
        <f>Source!E46</f>
        <v>8</v>
      </c>
      <c r="B125" s="35" t="str">
        <f>Source!F46</f>
        <v>3.6-6-10</v>
      </c>
      <c r="C125" s="35" t="s">
        <v>121</v>
      </c>
      <c r="D125" s="36" t="str">
        <f>Source!H46</f>
        <v>1 Т</v>
      </c>
      <c r="E125" s="28">
        <f>Source!I46</f>
        <v>1.8011999999999999</v>
      </c>
      <c r="F125" s="38"/>
      <c r="G125" s="37"/>
      <c r="H125" s="28"/>
      <c r="I125" s="28"/>
      <c r="J125" s="39"/>
      <c r="K125" s="39"/>
      <c r="Q125">
        <f>ROUND((Source!DN46/100)*ROUND((Source!AF46*Source!AV46)*Source!I46, 2), 2)</f>
        <v>248.28</v>
      </c>
      <c r="R125">
        <f>Source!X46</f>
        <v>4051.81</v>
      </c>
      <c r="S125">
        <f>ROUND((Source!DO46/100)*ROUND((Source!AF46*Source!AV46)*Source!I46, 2), 2)</f>
        <v>204.46</v>
      </c>
      <c r="T125">
        <f>Source!Y46</f>
        <v>2443</v>
      </c>
      <c r="U125">
        <f>ROUND((175/100)*ROUND((Source!AE46*Source!AV46)*Source!I46, 2), 2)</f>
        <v>33.090000000000003</v>
      </c>
      <c r="V125">
        <f>ROUND((157/100)*ROUND(Source!CS46*Source!I46, 2), 2)</f>
        <v>605.52</v>
      </c>
    </row>
    <row r="126" spans="1:22" x14ac:dyDescent="0.2">
      <c r="C126" s="40" t="str">
        <f>"Объем: "&amp;Source!I46&amp;"=395*"&amp;"4,56/"&amp;"1000"</f>
        <v>Объем: 1,8012=395*4,56/1000</v>
      </c>
    </row>
    <row r="127" spans="1:22" ht="14.25" x14ac:dyDescent="0.2">
      <c r="A127" s="34"/>
      <c r="B127" s="35"/>
      <c r="C127" s="35" t="s">
        <v>675</v>
      </c>
      <c r="D127" s="36"/>
      <c r="E127" s="28"/>
      <c r="F127" s="38">
        <f>Source!AO46</f>
        <v>134.68</v>
      </c>
      <c r="G127" s="37" t="str">
        <f>Source!DG46</f>
        <v>)*1,15</v>
      </c>
      <c r="H127" s="28">
        <f>Source!AV46</f>
        <v>1.0469999999999999</v>
      </c>
      <c r="I127" s="28">
        <f>IF(Source!BA46&lt;&gt; 0, Source!BA46, 1)</f>
        <v>20.399999999999999</v>
      </c>
      <c r="J127" s="39">
        <f>Source!S46</f>
        <v>5958.54</v>
      </c>
      <c r="K127" s="39"/>
    </row>
    <row r="128" spans="1:22" ht="14.25" x14ac:dyDescent="0.2">
      <c r="A128" s="34"/>
      <c r="B128" s="35"/>
      <c r="C128" s="35" t="s">
        <v>676</v>
      </c>
      <c r="D128" s="36"/>
      <c r="E128" s="28"/>
      <c r="F128" s="38">
        <f>Source!AM46</f>
        <v>30.2</v>
      </c>
      <c r="G128" s="37" t="str">
        <f>Source!DE46</f>
        <v>)*1,25</v>
      </c>
      <c r="H128" s="28">
        <f>Source!AV46</f>
        <v>1.0469999999999999</v>
      </c>
      <c r="I128" s="28">
        <f>IF(Source!BB46&lt;&gt; 0, Source!BB46, 1)</f>
        <v>8.51</v>
      </c>
      <c r="J128" s="39">
        <f>Source!Q46</f>
        <v>605.84</v>
      </c>
      <c r="K128" s="39"/>
    </row>
    <row r="129" spans="1:22" ht="14.25" x14ac:dyDescent="0.2">
      <c r="A129" s="34"/>
      <c r="B129" s="35"/>
      <c r="C129" s="35" t="s">
        <v>677</v>
      </c>
      <c r="D129" s="36"/>
      <c r="E129" s="28"/>
      <c r="F129" s="38">
        <f>Source!AN46</f>
        <v>8.02</v>
      </c>
      <c r="G129" s="37" t="str">
        <f>Source!DF46</f>
        <v>)*1,25</v>
      </c>
      <c r="H129" s="28">
        <f>Source!AV46</f>
        <v>1.0469999999999999</v>
      </c>
      <c r="I129" s="28">
        <f>IF(Source!BS46&lt;&gt; 0, Source!BS46, 1)</f>
        <v>20.399999999999999</v>
      </c>
      <c r="J129" s="41">
        <f>Source!R46</f>
        <v>385.68</v>
      </c>
      <c r="K129" s="39"/>
    </row>
    <row r="130" spans="1:22" ht="14.25" x14ac:dyDescent="0.2">
      <c r="A130" s="34"/>
      <c r="B130" s="35"/>
      <c r="C130" s="35" t="s">
        <v>678</v>
      </c>
      <c r="D130" s="36"/>
      <c r="E130" s="28"/>
      <c r="F130" s="38">
        <f>Source!AL46</f>
        <v>258.91000000000003</v>
      </c>
      <c r="G130" s="37" t="str">
        <f>Source!DD46</f>
        <v/>
      </c>
      <c r="H130" s="28">
        <f>Source!AW46</f>
        <v>1.022</v>
      </c>
      <c r="I130" s="28">
        <f>IF(Source!BC46&lt;&gt; 0, Source!BC46, 1)</f>
        <v>5.36</v>
      </c>
      <c r="J130" s="39">
        <f>Source!P46</f>
        <v>2554.62</v>
      </c>
      <c r="K130" s="39"/>
    </row>
    <row r="131" spans="1:22" ht="28.5" x14ac:dyDescent="0.2">
      <c r="A131" s="34" t="str">
        <f>Source!E47</f>
        <v>8,1</v>
      </c>
      <c r="B131" s="35" t="str">
        <f>Source!F47</f>
        <v>101-9086-1</v>
      </c>
      <c r="C131" s="35" t="s">
        <v>128</v>
      </c>
      <c r="D131" s="36" t="str">
        <f>Source!H47</f>
        <v>т</v>
      </c>
      <c r="E131" s="28">
        <f>Source!I47</f>
        <v>1.8912599999999999</v>
      </c>
      <c r="F131" s="38">
        <f>Source!AK47</f>
        <v>7200</v>
      </c>
      <c r="G131" s="42" t="s">
        <v>3</v>
      </c>
      <c r="H131" s="28">
        <f>Source!AW47</f>
        <v>1</v>
      </c>
      <c r="I131" s="28">
        <f>IF(Source!BC47&lt;&gt; 0, Source!BC47, 1)</f>
        <v>1</v>
      </c>
      <c r="J131" s="39">
        <f>Source!O47</f>
        <v>13617.07</v>
      </c>
      <c r="K131" s="39"/>
      <c r="Q131">
        <f>ROUND((Source!DN47/100)*ROUND((Source!AF47*Source!AV47)*Source!I47, 2), 2)</f>
        <v>0</v>
      </c>
      <c r="R131">
        <f>Source!X47</f>
        <v>0</v>
      </c>
      <c r="S131">
        <f>ROUND((Source!DO47/100)*ROUND((Source!AF47*Source!AV47)*Source!I47, 2), 2)</f>
        <v>0</v>
      </c>
      <c r="T131">
        <f>Source!Y47</f>
        <v>0</v>
      </c>
      <c r="U131">
        <f>ROUND((175/100)*ROUND((Source!AE47*Source!AV47)*Source!I47, 2), 2)</f>
        <v>0</v>
      </c>
      <c r="V131">
        <f>ROUND((157/100)*ROUND(Source!CS47*Source!I47, 2), 2)</f>
        <v>0</v>
      </c>
    </row>
    <row r="132" spans="1:22" ht="14.25" x14ac:dyDescent="0.2">
      <c r="A132" s="34"/>
      <c r="B132" s="35"/>
      <c r="C132" s="35" t="s">
        <v>679</v>
      </c>
      <c r="D132" s="36" t="s">
        <v>680</v>
      </c>
      <c r="E132" s="28">
        <f>Source!BZ46</f>
        <v>68</v>
      </c>
      <c r="F132" s="38"/>
      <c r="G132" s="37"/>
      <c r="H132" s="28"/>
      <c r="I132" s="28"/>
      <c r="J132" s="39">
        <f>SUM(R125:R131)</f>
        <v>4051.81</v>
      </c>
      <c r="K132" s="39"/>
    </row>
    <row r="133" spans="1:22" ht="14.25" x14ac:dyDescent="0.2">
      <c r="A133" s="34"/>
      <c r="B133" s="35"/>
      <c r="C133" s="35" t="s">
        <v>681</v>
      </c>
      <c r="D133" s="36" t="s">
        <v>680</v>
      </c>
      <c r="E133" s="28">
        <f>Source!CA46</f>
        <v>41</v>
      </c>
      <c r="F133" s="38"/>
      <c r="G133" s="37"/>
      <c r="H133" s="28"/>
      <c r="I133" s="28"/>
      <c r="J133" s="39">
        <f>SUM(T125:T132)</f>
        <v>2443</v>
      </c>
      <c r="K133" s="39"/>
    </row>
    <row r="134" spans="1:22" ht="14.25" x14ac:dyDescent="0.2">
      <c r="A134" s="34"/>
      <c r="B134" s="35"/>
      <c r="C134" s="35" t="s">
        <v>682</v>
      </c>
      <c r="D134" s="36" t="s">
        <v>680</v>
      </c>
      <c r="E134" s="28">
        <f>157</f>
        <v>157</v>
      </c>
      <c r="F134" s="38"/>
      <c r="G134" s="37"/>
      <c r="H134" s="28"/>
      <c r="I134" s="28"/>
      <c r="J134" s="39">
        <f>SUM(V125:V133)</f>
        <v>605.52</v>
      </c>
      <c r="K134" s="39"/>
    </row>
    <row r="135" spans="1:22" ht="14.25" x14ac:dyDescent="0.2">
      <c r="A135" s="46"/>
      <c r="B135" s="47"/>
      <c r="C135" s="47" t="s">
        <v>683</v>
      </c>
      <c r="D135" s="48" t="s">
        <v>684</v>
      </c>
      <c r="E135" s="49">
        <f>Source!AQ46</f>
        <v>11.6</v>
      </c>
      <c r="F135" s="50"/>
      <c r="G135" s="51" t="str">
        <f>Source!DI46</f>
        <v>)*1,15</v>
      </c>
      <c r="H135" s="49">
        <f>Source!AV46</f>
        <v>1.0469999999999999</v>
      </c>
      <c r="I135" s="49"/>
      <c r="J135" s="52"/>
      <c r="K135" s="52">
        <f>Source!U46</f>
        <v>25.157324375999995</v>
      </c>
    </row>
    <row r="136" spans="1:22" ht="15" x14ac:dyDescent="0.25">
      <c r="A136" s="53"/>
      <c r="B136" s="53"/>
      <c r="C136" s="54" t="s">
        <v>685</v>
      </c>
      <c r="D136" s="53"/>
      <c r="E136" s="53"/>
      <c r="F136" s="53"/>
      <c r="G136" s="53"/>
      <c r="H136" s="53"/>
      <c r="I136" s="55">
        <f>J127+J128+J130+J132+J133+J134+SUM(J131:J131)</f>
        <v>29836.400000000001</v>
      </c>
      <c r="J136" s="55"/>
      <c r="K136" s="56">
        <f>IF(Source!I46&lt;&gt;0, ROUND(I136/Source!I46, 2), 0)</f>
        <v>16564.73</v>
      </c>
      <c r="P136" s="43">
        <f>J127+J128+J130+J132+J133+J134+SUM(J131:J131)</f>
        <v>29836.400000000001</v>
      </c>
    </row>
    <row r="138" spans="1:22" ht="28.5" x14ac:dyDescent="0.2">
      <c r="A138" s="34" t="str">
        <f>Source!E48</f>
        <v>9</v>
      </c>
      <c r="B138" s="35" t="str">
        <f>Source!F48</f>
        <v>3.11-10-1</v>
      </c>
      <c r="C138" s="35" t="s">
        <v>134</v>
      </c>
      <c r="D138" s="36" t="str">
        <f>Source!H48</f>
        <v>100 м2 стяжки</v>
      </c>
      <c r="E138" s="28">
        <f>Source!I48</f>
        <v>3.95</v>
      </c>
      <c r="F138" s="38"/>
      <c r="G138" s="37"/>
      <c r="H138" s="28"/>
      <c r="I138" s="28"/>
      <c r="J138" s="39"/>
      <c r="K138" s="39"/>
      <c r="Q138">
        <f>ROUND((Source!DN48/100)*ROUND((Source!AF48*Source!AV48)*Source!I48, 2), 2)</f>
        <v>1201.29</v>
      </c>
      <c r="R138">
        <f>Source!X48</f>
        <v>20029.25</v>
      </c>
      <c r="S138">
        <f>ROUND((Source!DO48/100)*ROUND((Source!AF48*Source!AV48)*Source!I48, 2), 2)</f>
        <v>808.56</v>
      </c>
      <c r="T138">
        <f>Source!Y48</f>
        <v>9661.17</v>
      </c>
      <c r="U138">
        <f>ROUND((175/100)*ROUND((Source!AE48*Source!AV48)*Source!I48, 2), 2)</f>
        <v>2.8</v>
      </c>
      <c r="V138">
        <f>ROUND((157/100)*ROUND(Source!CS48*Source!I48, 2), 2)</f>
        <v>51.32</v>
      </c>
    </row>
    <row r="139" spans="1:22" x14ac:dyDescent="0.2">
      <c r="C139" s="40" t="str">
        <f>"Объем: "&amp;Source!I48&amp;"=395/"&amp;"100"</f>
        <v>Объем: 3,95=395/100</v>
      </c>
    </row>
    <row r="140" spans="1:22" ht="14.25" x14ac:dyDescent="0.2">
      <c r="A140" s="34"/>
      <c r="B140" s="35"/>
      <c r="C140" s="35" t="s">
        <v>675</v>
      </c>
      <c r="D140" s="36"/>
      <c r="E140" s="28"/>
      <c r="F140" s="38">
        <f>Source!AO48</f>
        <v>242.87</v>
      </c>
      <c r="G140" s="37" t="str">
        <f>Source!DG48</f>
        <v>)*1,15</v>
      </c>
      <c r="H140" s="28">
        <f>Source!AV48</f>
        <v>1.0469999999999999</v>
      </c>
      <c r="I140" s="28">
        <f>IF(Source!BA48&lt;&gt; 0, Source!BA48, 1)</f>
        <v>20.399999999999999</v>
      </c>
      <c r="J140" s="39">
        <f>Source!S48</f>
        <v>23563.82</v>
      </c>
      <c r="K140" s="39"/>
    </row>
    <row r="141" spans="1:22" ht="14.25" x14ac:dyDescent="0.2">
      <c r="A141" s="34"/>
      <c r="B141" s="35"/>
      <c r="C141" s="35" t="s">
        <v>676</v>
      </c>
      <c r="D141" s="36"/>
      <c r="E141" s="28"/>
      <c r="F141" s="38">
        <f>Source!AM48</f>
        <v>12.59</v>
      </c>
      <c r="G141" s="37" t="str">
        <f>Source!DE48</f>
        <v>)*1,25</v>
      </c>
      <c r="H141" s="28">
        <f>Source!AV48</f>
        <v>1.0469999999999999</v>
      </c>
      <c r="I141" s="28">
        <f>IF(Source!BB48&lt;&gt; 0, Source!BB48, 1)</f>
        <v>1.37</v>
      </c>
      <c r="J141" s="39">
        <f>Source!Q48</f>
        <v>89.17</v>
      </c>
      <c r="K141" s="39"/>
    </row>
    <row r="142" spans="1:22" ht="14.25" x14ac:dyDescent="0.2">
      <c r="A142" s="34"/>
      <c r="B142" s="35"/>
      <c r="C142" s="35" t="s">
        <v>677</v>
      </c>
      <c r="D142" s="36"/>
      <c r="E142" s="28"/>
      <c r="F142" s="38">
        <f>Source!AN48</f>
        <v>0.31</v>
      </c>
      <c r="G142" s="37" t="str">
        <f>Source!DF48</f>
        <v>)*1,25</v>
      </c>
      <c r="H142" s="28">
        <f>Source!AV48</f>
        <v>1.0469999999999999</v>
      </c>
      <c r="I142" s="28">
        <f>IF(Source!BS48&lt;&gt; 0, Source!BS48, 1)</f>
        <v>20.399999999999999</v>
      </c>
      <c r="J142" s="41">
        <f>Source!R48</f>
        <v>32.69</v>
      </c>
      <c r="K142" s="39"/>
    </row>
    <row r="143" spans="1:22" ht="14.25" x14ac:dyDescent="0.2">
      <c r="A143" s="34"/>
      <c r="B143" s="35"/>
      <c r="C143" s="35" t="s">
        <v>678</v>
      </c>
      <c r="D143" s="36"/>
      <c r="E143" s="28"/>
      <c r="F143" s="38">
        <f>Source!AL48</f>
        <v>24.75</v>
      </c>
      <c r="G143" s="37" t="str">
        <f>Source!DD48</f>
        <v/>
      </c>
      <c r="H143" s="28">
        <f>Source!AW48</f>
        <v>1</v>
      </c>
      <c r="I143" s="28">
        <f>IF(Source!BC48&lt;&gt; 0, Source!BC48, 1)</f>
        <v>4.24</v>
      </c>
      <c r="J143" s="39">
        <f>Source!P48</f>
        <v>414.51</v>
      </c>
      <c r="K143" s="39"/>
    </row>
    <row r="144" spans="1:22" ht="14.25" x14ac:dyDescent="0.2">
      <c r="A144" s="34" t="str">
        <f>Source!E49</f>
        <v>9,1</v>
      </c>
      <c r="B144" s="35" t="str">
        <f>Source!F49</f>
        <v>1.3-2-5</v>
      </c>
      <c r="C144" s="35" t="s">
        <v>139</v>
      </c>
      <c r="D144" s="36" t="str">
        <f>Source!H49</f>
        <v>м3</v>
      </c>
      <c r="E144" s="28">
        <f>Source!I49</f>
        <v>8.0579999999999998</v>
      </c>
      <c r="F144" s="38">
        <f>Source!AK49</f>
        <v>451.14</v>
      </c>
      <c r="G144" s="42" t="s">
        <v>3</v>
      </c>
      <c r="H144" s="28">
        <f>Source!AW49</f>
        <v>1</v>
      </c>
      <c r="I144" s="28">
        <f>IF(Source!BC49&lt;&gt; 0, Source!BC49, 1)</f>
        <v>6.84</v>
      </c>
      <c r="J144" s="39">
        <f>Source!O49</f>
        <v>24865.360000000001</v>
      </c>
      <c r="K144" s="39"/>
      <c r="Q144">
        <f>ROUND((Source!DN49/100)*ROUND((Source!AF49*Source!AV49)*Source!I49, 2), 2)</f>
        <v>0</v>
      </c>
      <c r="R144">
        <f>Source!X49</f>
        <v>0</v>
      </c>
      <c r="S144">
        <f>ROUND((Source!DO49/100)*ROUND((Source!AF49*Source!AV49)*Source!I49, 2), 2)</f>
        <v>0</v>
      </c>
      <c r="T144">
        <f>Source!Y49</f>
        <v>0</v>
      </c>
      <c r="U144">
        <f>ROUND((175/100)*ROUND((Source!AE49*Source!AV49)*Source!I49, 2), 2)</f>
        <v>0</v>
      </c>
      <c r="V144">
        <f>ROUND((157/100)*ROUND(Source!CS49*Source!I49, 2), 2)</f>
        <v>0</v>
      </c>
    </row>
    <row r="145" spans="1:22" ht="14.25" x14ac:dyDescent="0.2">
      <c r="A145" s="34"/>
      <c r="B145" s="35"/>
      <c r="C145" s="35" t="s">
        <v>679</v>
      </c>
      <c r="D145" s="36" t="s">
        <v>680</v>
      </c>
      <c r="E145" s="28">
        <f>Source!BZ48</f>
        <v>85</v>
      </c>
      <c r="F145" s="38"/>
      <c r="G145" s="37"/>
      <c r="H145" s="28"/>
      <c r="I145" s="28"/>
      <c r="J145" s="39">
        <f>SUM(R138:R144)</f>
        <v>20029.25</v>
      </c>
      <c r="K145" s="39"/>
    </row>
    <row r="146" spans="1:22" ht="14.25" x14ac:dyDescent="0.2">
      <c r="A146" s="34"/>
      <c r="B146" s="35"/>
      <c r="C146" s="35" t="s">
        <v>681</v>
      </c>
      <c r="D146" s="36" t="s">
        <v>680</v>
      </c>
      <c r="E146" s="28">
        <f>Source!CA48</f>
        <v>41</v>
      </c>
      <c r="F146" s="38"/>
      <c r="G146" s="37"/>
      <c r="H146" s="28"/>
      <c r="I146" s="28"/>
      <c r="J146" s="39">
        <f>SUM(T138:T145)</f>
        <v>9661.17</v>
      </c>
      <c r="K146" s="39"/>
    </row>
    <row r="147" spans="1:22" ht="14.25" x14ac:dyDescent="0.2">
      <c r="A147" s="34"/>
      <c r="B147" s="35"/>
      <c r="C147" s="35" t="s">
        <v>682</v>
      </c>
      <c r="D147" s="36" t="s">
        <v>680</v>
      </c>
      <c r="E147" s="28">
        <f>157</f>
        <v>157</v>
      </c>
      <c r="F147" s="38"/>
      <c r="G147" s="37"/>
      <c r="H147" s="28"/>
      <c r="I147" s="28"/>
      <c r="J147" s="39">
        <f>SUM(V138:V146)</f>
        <v>51.32</v>
      </c>
      <c r="K147" s="39"/>
    </row>
    <row r="148" spans="1:22" ht="14.25" x14ac:dyDescent="0.2">
      <c r="A148" s="46"/>
      <c r="B148" s="47"/>
      <c r="C148" s="47" t="s">
        <v>683</v>
      </c>
      <c r="D148" s="48" t="s">
        <v>684</v>
      </c>
      <c r="E148" s="49">
        <f>Source!AQ48</f>
        <v>23.33</v>
      </c>
      <c r="F148" s="50"/>
      <c r="G148" s="51" t="str">
        <f>Source!DI48</f>
        <v>)*1,15</v>
      </c>
      <c r="H148" s="49">
        <f>Source!AV48</f>
        <v>1.0469999999999999</v>
      </c>
      <c r="I148" s="49"/>
      <c r="J148" s="52"/>
      <c r="K148" s="52">
        <f>Source!U48</f>
        <v>110.95742167499998</v>
      </c>
    </row>
    <row r="149" spans="1:22" ht="15" x14ac:dyDescent="0.25">
      <c r="A149" s="53"/>
      <c r="B149" s="53"/>
      <c r="C149" s="54" t="s">
        <v>685</v>
      </c>
      <c r="D149" s="53"/>
      <c r="E149" s="53"/>
      <c r="F149" s="53"/>
      <c r="G149" s="53"/>
      <c r="H149" s="53"/>
      <c r="I149" s="55">
        <f>J140+J141+J143+J145+J146+J147+SUM(J144:J144)</f>
        <v>78674.600000000006</v>
      </c>
      <c r="J149" s="55"/>
      <c r="K149" s="56">
        <f>IF(Source!I48&lt;&gt;0, ROUND(I149/Source!I48, 2), 0)</f>
        <v>19917.62</v>
      </c>
      <c r="P149" s="43">
        <f>J140+J141+J143+J145+J146+J147+SUM(J144:J144)</f>
        <v>78674.600000000006</v>
      </c>
    </row>
    <row r="151" spans="1:22" ht="57" x14ac:dyDescent="0.2">
      <c r="A151" s="34" t="str">
        <f>Source!E50</f>
        <v>10</v>
      </c>
      <c r="B151" s="35" t="str">
        <f>Source!F50</f>
        <v>3.11-10-2</v>
      </c>
      <c r="C151" s="35" t="s">
        <v>144</v>
      </c>
      <c r="D151" s="36" t="str">
        <f>Source!H50</f>
        <v>100 м2 стяжки</v>
      </c>
      <c r="E151" s="28">
        <f>Source!I50</f>
        <v>3.95</v>
      </c>
      <c r="F151" s="38"/>
      <c r="G151" s="37"/>
      <c r="H151" s="28"/>
      <c r="I151" s="28"/>
      <c r="J151" s="39"/>
      <c r="K151" s="39"/>
      <c r="Q151">
        <f>ROUND((Source!DN50/100)*ROUND((Source!AF50*Source!AV50)*Source!I50, 2), 2)</f>
        <v>133.55000000000001</v>
      </c>
      <c r="R151">
        <f>Source!X50</f>
        <v>2226.66</v>
      </c>
      <c r="S151">
        <f>ROUND((Source!DO50/100)*ROUND((Source!AF50*Source!AV50)*Source!I50, 2), 2)</f>
        <v>89.89</v>
      </c>
      <c r="T151">
        <f>Source!Y50</f>
        <v>1074.04</v>
      </c>
      <c r="U151">
        <f>ROUND((175/100)*ROUND((Source!AE50*Source!AV50)*Source!I50, 2), 2)</f>
        <v>4.34</v>
      </c>
      <c r="V151">
        <f>ROUND((157/100)*ROUND(Source!CS50*Source!I50, 2), 2)</f>
        <v>79.47</v>
      </c>
    </row>
    <row r="152" spans="1:22" x14ac:dyDescent="0.2">
      <c r="C152" s="40" t="str">
        <f>"Объем: "&amp;Source!I50&amp;"=395/"&amp;"100"</f>
        <v>Объем: 3,95=395/100</v>
      </c>
    </row>
    <row r="153" spans="1:22" ht="14.25" x14ac:dyDescent="0.2">
      <c r="A153" s="34"/>
      <c r="B153" s="35"/>
      <c r="C153" s="35" t="s">
        <v>675</v>
      </c>
      <c r="D153" s="36"/>
      <c r="E153" s="28"/>
      <c r="F153" s="38">
        <f>Source!AO50</f>
        <v>4.5</v>
      </c>
      <c r="G153" s="37" t="str">
        <f>Source!DG50</f>
        <v>)*1,15)*6</v>
      </c>
      <c r="H153" s="28">
        <f>Source!AV50</f>
        <v>1.0469999999999999</v>
      </c>
      <c r="I153" s="28">
        <f>IF(Source!BA50&lt;&gt; 0, Source!BA50, 1)</f>
        <v>20.399999999999999</v>
      </c>
      <c r="J153" s="39">
        <f>Source!S50</f>
        <v>2619.6</v>
      </c>
      <c r="K153" s="39"/>
    </row>
    <row r="154" spans="1:22" ht="14.25" x14ac:dyDescent="0.2">
      <c r="A154" s="34"/>
      <c r="B154" s="35"/>
      <c r="C154" s="35" t="s">
        <v>676</v>
      </c>
      <c r="D154" s="36"/>
      <c r="E154" s="28"/>
      <c r="F154" s="38">
        <f>Source!AM50</f>
        <v>3.22</v>
      </c>
      <c r="G154" s="37" t="str">
        <f>Source!DE50</f>
        <v>)*1,25)*6</v>
      </c>
      <c r="H154" s="28">
        <f>Source!AV50</f>
        <v>1.0469999999999999</v>
      </c>
      <c r="I154" s="28">
        <f>IF(Source!BB50&lt;&gt; 0, Source!BB50, 1)</f>
        <v>1.37</v>
      </c>
      <c r="J154" s="39">
        <f>Source!Q50</f>
        <v>136.83000000000001</v>
      </c>
      <c r="K154" s="39"/>
    </row>
    <row r="155" spans="1:22" ht="14.25" x14ac:dyDescent="0.2">
      <c r="A155" s="34"/>
      <c r="B155" s="35"/>
      <c r="C155" s="35" t="s">
        <v>677</v>
      </c>
      <c r="D155" s="36"/>
      <c r="E155" s="28"/>
      <c r="F155" s="38">
        <f>Source!AN50</f>
        <v>0.08</v>
      </c>
      <c r="G155" s="37" t="str">
        <f>Source!DF50</f>
        <v>)*1,25)*6</v>
      </c>
      <c r="H155" s="28">
        <f>Source!AV50</f>
        <v>1.0469999999999999</v>
      </c>
      <c r="I155" s="28">
        <f>IF(Source!BS50&lt;&gt; 0, Source!BS50, 1)</f>
        <v>20.399999999999999</v>
      </c>
      <c r="J155" s="41">
        <f>Source!R50</f>
        <v>50.62</v>
      </c>
      <c r="K155" s="39"/>
    </row>
    <row r="156" spans="1:22" ht="14.25" x14ac:dyDescent="0.2">
      <c r="A156" s="34" t="str">
        <f>Source!E51</f>
        <v>10,1</v>
      </c>
      <c r="B156" s="35" t="str">
        <f>Source!F51</f>
        <v>1.3-2-5</v>
      </c>
      <c r="C156" s="35" t="s">
        <v>139</v>
      </c>
      <c r="D156" s="36" t="str">
        <f>Source!H51</f>
        <v>м3</v>
      </c>
      <c r="E156" s="28">
        <f>Source!I51</f>
        <v>12.087</v>
      </c>
      <c r="F156" s="38">
        <f>Source!AK51</f>
        <v>451.14</v>
      </c>
      <c r="G156" s="42" t="s">
        <v>686</v>
      </c>
      <c r="H156" s="28">
        <f>Source!AW51</f>
        <v>1</v>
      </c>
      <c r="I156" s="28">
        <f>IF(Source!BC51&lt;&gt; 0, Source!BC51, 1)</f>
        <v>6.84</v>
      </c>
      <c r="J156" s="39">
        <f>Source!O51</f>
        <v>37298.04</v>
      </c>
      <c r="K156" s="39"/>
      <c r="Q156">
        <f>ROUND((Source!DN51/100)*ROUND((Source!AF51*Source!AV51)*Source!I51, 2), 2)</f>
        <v>0</v>
      </c>
      <c r="R156">
        <f>Source!X51</f>
        <v>0</v>
      </c>
      <c r="S156">
        <f>ROUND((Source!DO51/100)*ROUND((Source!AF51*Source!AV51)*Source!I51, 2), 2)</f>
        <v>0</v>
      </c>
      <c r="T156">
        <f>Source!Y51</f>
        <v>0</v>
      </c>
      <c r="U156">
        <f>ROUND((175/100)*ROUND((Source!AE51*Source!AV51)*Source!I51, 2), 2)</f>
        <v>0</v>
      </c>
      <c r="V156">
        <f>ROUND((157/100)*ROUND(Source!CS51*Source!I51, 2), 2)</f>
        <v>0</v>
      </c>
    </row>
    <row r="157" spans="1:22" ht="14.25" x14ac:dyDescent="0.2">
      <c r="A157" s="34"/>
      <c r="B157" s="35"/>
      <c r="C157" s="35" t="s">
        <v>679</v>
      </c>
      <c r="D157" s="36" t="s">
        <v>680</v>
      </c>
      <c r="E157" s="28">
        <f>Source!BZ50</f>
        <v>85</v>
      </c>
      <c r="F157" s="38"/>
      <c r="G157" s="37"/>
      <c r="H157" s="28"/>
      <c r="I157" s="28"/>
      <c r="J157" s="39">
        <f>SUM(R151:R156)</f>
        <v>2226.66</v>
      </c>
      <c r="K157" s="39"/>
    </row>
    <row r="158" spans="1:22" ht="14.25" x14ac:dyDescent="0.2">
      <c r="A158" s="34"/>
      <c r="B158" s="35"/>
      <c r="C158" s="35" t="s">
        <v>681</v>
      </c>
      <c r="D158" s="36" t="s">
        <v>680</v>
      </c>
      <c r="E158" s="28">
        <f>Source!CA50</f>
        <v>41</v>
      </c>
      <c r="F158" s="38"/>
      <c r="G158" s="37"/>
      <c r="H158" s="28"/>
      <c r="I158" s="28"/>
      <c r="J158" s="39">
        <f>SUM(T151:T157)</f>
        <v>1074.04</v>
      </c>
      <c r="K158" s="39"/>
    </row>
    <row r="159" spans="1:22" ht="14.25" x14ac:dyDescent="0.2">
      <c r="A159" s="34"/>
      <c r="B159" s="35"/>
      <c r="C159" s="35" t="s">
        <v>682</v>
      </c>
      <c r="D159" s="36" t="s">
        <v>680</v>
      </c>
      <c r="E159" s="28">
        <f>157</f>
        <v>157</v>
      </c>
      <c r="F159" s="38"/>
      <c r="G159" s="37"/>
      <c r="H159" s="28"/>
      <c r="I159" s="28"/>
      <c r="J159" s="39">
        <f>SUM(V151:V158)</f>
        <v>79.47</v>
      </c>
      <c r="K159" s="39"/>
    </row>
    <row r="160" spans="1:22" ht="14.25" x14ac:dyDescent="0.2">
      <c r="A160" s="46"/>
      <c r="B160" s="47"/>
      <c r="C160" s="47" t="s">
        <v>683</v>
      </c>
      <c r="D160" s="48" t="s">
        <v>684</v>
      </c>
      <c r="E160" s="49">
        <f>Source!AQ50</f>
        <v>0.44</v>
      </c>
      <c r="F160" s="50"/>
      <c r="G160" s="51" t="str">
        <f>Source!DI50</f>
        <v>)*1,15)*6</v>
      </c>
      <c r="H160" s="49">
        <f>Source!AV50</f>
        <v>1.0469999999999999</v>
      </c>
      <c r="I160" s="49"/>
      <c r="J160" s="52"/>
      <c r="K160" s="52">
        <f>Source!U50</f>
        <v>12.555833399999999</v>
      </c>
    </row>
    <row r="161" spans="1:22" ht="15" x14ac:dyDescent="0.25">
      <c r="A161" s="53"/>
      <c r="B161" s="53"/>
      <c r="C161" s="54" t="s">
        <v>685</v>
      </c>
      <c r="D161" s="53"/>
      <c r="E161" s="53"/>
      <c r="F161" s="53"/>
      <c r="G161" s="53"/>
      <c r="H161" s="53"/>
      <c r="I161" s="55">
        <f>J153+J154+J157+J158+J159+SUM(J156:J156)</f>
        <v>43434.64</v>
      </c>
      <c r="J161" s="55"/>
      <c r="K161" s="56">
        <f>IF(Source!I50&lt;&gt;0, ROUND(I161/Source!I50, 2), 0)</f>
        <v>10996.11</v>
      </c>
      <c r="P161" s="43">
        <f>J153+J154+J157+J158+J159+SUM(J156:J156)</f>
        <v>43434.64</v>
      </c>
    </row>
    <row r="163" spans="1:22" ht="42.75" x14ac:dyDescent="0.2">
      <c r="A163" s="34" t="str">
        <f>Source!E52</f>
        <v>11</v>
      </c>
      <c r="B163" s="35" t="str">
        <f>Source!F52</f>
        <v>3.11-10-11</v>
      </c>
      <c r="C163" s="35" t="s">
        <v>152</v>
      </c>
      <c r="D163" s="36" t="str">
        <f>Source!H52</f>
        <v>100 м2 стяжки</v>
      </c>
      <c r="E163" s="28">
        <f>Source!I52</f>
        <v>3.95</v>
      </c>
      <c r="F163" s="38"/>
      <c r="G163" s="37"/>
      <c r="H163" s="28"/>
      <c r="I163" s="28"/>
      <c r="J163" s="39"/>
      <c r="K163" s="39"/>
      <c r="Q163">
        <f>ROUND((Source!DN52/100)*ROUND((Source!AF52*Source!AV52)*Source!I52, 2), 2)</f>
        <v>1936.3</v>
      </c>
      <c r="R163">
        <f>Source!X52</f>
        <v>32284.14</v>
      </c>
      <c r="S163">
        <f>ROUND((Source!DO52/100)*ROUND((Source!AF52*Source!AV52)*Source!I52, 2), 2)</f>
        <v>1303.28</v>
      </c>
      <c r="T163">
        <f>Source!Y52</f>
        <v>15572.35</v>
      </c>
      <c r="U163">
        <f>ROUND((175/100)*ROUND((Source!AE52*Source!AV52)*Source!I52, 2), 2)</f>
        <v>83.14</v>
      </c>
      <c r="V163">
        <f>ROUND((157/100)*ROUND(Source!CS52*Source!I52, 2), 2)</f>
        <v>1521.6</v>
      </c>
    </row>
    <row r="164" spans="1:22" x14ac:dyDescent="0.2">
      <c r="C164" s="40" t="str">
        <f>"Объем: "&amp;Source!I52&amp;"=395/"&amp;"100"</f>
        <v>Объем: 3,95=395/100</v>
      </c>
    </row>
    <row r="165" spans="1:22" ht="14.25" x14ac:dyDescent="0.2">
      <c r="A165" s="34"/>
      <c r="B165" s="35"/>
      <c r="C165" s="35" t="s">
        <v>675</v>
      </c>
      <c r="D165" s="36"/>
      <c r="E165" s="28"/>
      <c r="F165" s="38">
        <f>Source!AO52</f>
        <v>391.47</v>
      </c>
      <c r="G165" s="37" t="str">
        <f>Source!DG52</f>
        <v>)*1,15</v>
      </c>
      <c r="H165" s="28">
        <f>Source!AV52</f>
        <v>1.0469999999999999</v>
      </c>
      <c r="I165" s="28">
        <f>IF(Source!BA52&lt;&gt; 0, Source!BA52, 1)</f>
        <v>20.399999999999999</v>
      </c>
      <c r="J165" s="39">
        <f>Source!S52</f>
        <v>37981.339999999997</v>
      </c>
      <c r="K165" s="39"/>
    </row>
    <row r="166" spans="1:22" ht="14.25" x14ac:dyDescent="0.2">
      <c r="A166" s="34"/>
      <c r="B166" s="35"/>
      <c r="C166" s="35" t="s">
        <v>676</v>
      </c>
      <c r="D166" s="36"/>
      <c r="E166" s="28"/>
      <c r="F166" s="38">
        <f>Source!AM52</f>
        <v>65.87</v>
      </c>
      <c r="G166" s="37" t="str">
        <f>Source!DE52</f>
        <v>)*1,25</v>
      </c>
      <c r="H166" s="28">
        <f>Source!AV52</f>
        <v>1.0469999999999999</v>
      </c>
      <c r="I166" s="28">
        <f>IF(Source!BB52&lt;&gt; 0, Source!BB52, 1)</f>
        <v>6.61</v>
      </c>
      <c r="J166" s="39">
        <f>Source!Q52</f>
        <v>2250.83</v>
      </c>
      <c r="K166" s="39"/>
    </row>
    <row r="167" spans="1:22" ht="14.25" x14ac:dyDescent="0.2">
      <c r="A167" s="34"/>
      <c r="B167" s="35"/>
      <c r="C167" s="35" t="s">
        <v>677</v>
      </c>
      <c r="D167" s="36"/>
      <c r="E167" s="28"/>
      <c r="F167" s="38">
        <f>Source!AN52</f>
        <v>9.19</v>
      </c>
      <c r="G167" s="37" t="str">
        <f>Source!DF52</f>
        <v>)*1,25</v>
      </c>
      <c r="H167" s="28">
        <f>Source!AV52</f>
        <v>1.0469999999999999</v>
      </c>
      <c r="I167" s="28">
        <f>IF(Source!BS52&lt;&gt; 0, Source!BS52, 1)</f>
        <v>20.399999999999999</v>
      </c>
      <c r="J167" s="41">
        <f>Source!R52</f>
        <v>969.17</v>
      </c>
      <c r="K167" s="39"/>
    </row>
    <row r="168" spans="1:22" ht="14.25" x14ac:dyDescent="0.2">
      <c r="A168" s="34"/>
      <c r="B168" s="35"/>
      <c r="C168" s="35" t="s">
        <v>678</v>
      </c>
      <c r="D168" s="36"/>
      <c r="E168" s="28"/>
      <c r="F168" s="38">
        <f>Source!AL52</f>
        <v>25.24</v>
      </c>
      <c r="G168" s="37" t="str">
        <f>Source!DD52</f>
        <v/>
      </c>
      <c r="H168" s="28">
        <f>Source!AW52</f>
        <v>1</v>
      </c>
      <c r="I168" s="28">
        <f>IF(Source!BC52&lt;&gt; 0, Source!BC52, 1)</f>
        <v>2.91</v>
      </c>
      <c r="J168" s="39">
        <f>Source!P52</f>
        <v>290.12</v>
      </c>
      <c r="K168" s="39"/>
    </row>
    <row r="169" spans="1:22" ht="57" x14ac:dyDescent="0.2">
      <c r="A169" s="34" t="str">
        <f>Source!E53</f>
        <v>11,1</v>
      </c>
      <c r="B169" s="35" t="str">
        <f>Source!F53</f>
        <v>1.1-1-3107</v>
      </c>
      <c r="C169" s="35" t="s">
        <v>156</v>
      </c>
      <c r="D169" s="36" t="str">
        <f>Source!H53</f>
        <v>кг</v>
      </c>
      <c r="E169" s="28">
        <f>Source!I53</f>
        <v>79</v>
      </c>
      <c r="F169" s="38">
        <f>Source!AK53</f>
        <v>21.24</v>
      </c>
      <c r="G169" s="42" t="s">
        <v>3</v>
      </c>
      <c r="H169" s="28">
        <f>Source!AW53</f>
        <v>1</v>
      </c>
      <c r="I169" s="28">
        <f>IF(Source!BC53&lt;&gt; 0, Source!BC53, 1)</f>
        <v>2.4</v>
      </c>
      <c r="J169" s="39">
        <f>Source!O53</f>
        <v>4027.1</v>
      </c>
      <c r="K169" s="39"/>
      <c r="Q169">
        <f>ROUND((Source!DN53/100)*ROUND((Source!AF53*Source!AV53)*Source!I53, 2), 2)</f>
        <v>0</v>
      </c>
      <c r="R169">
        <f>Source!X53</f>
        <v>0</v>
      </c>
      <c r="S169">
        <f>ROUND((Source!DO53/100)*ROUND((Source!AF53*Source!AV53)*Source!I53, 2), 2)</f>
        <v>0</v>
      </c>
      <c r="T169">
        <f>Source!Y53</f>
        <v>0</v>
      </c>
      <c r="U169">
        <f>ROUND((175/100)*ROUND((Source!AE53*Source!AV53)*Source!I53, 2), 2)</f>
        <v>0</v>
      </c>
      <c r="V169">
        <f>ROUND((157/100)*ROUND(Source!CS53*Source!I53, 2), 2)</f>
        <v>0</v>
      </c>
    </row>
    <row r="170" spans="1:22" ht="71.25" x14ac:dyDescent="0.2">
      <c r="A170" s="34" t="str">
        <f>Source!E54</f>
        <v>11,2</v>
      </c>
      <c r="B170" s="35" t="str">
        <f>Source!F54</f>
        <v>1.3-2-179</v>
      </c>
      <c r="C170" s="35" t="s">
        <v>160</v>
      </c>
      <c r="D170" s="36" t="str">
        <f>Source!H54</f>
        <v>т</v>
      </c>
      <c r="E170" s="28">
        <f>Source!I54</f>
        <v>3.3258999999999999</v>
      </c>
      <c r="F170" s="38">
        <f>Source!AK54</f>
        <v>16698.189999999999</v>
      </c>
      <c r="G170" s="42" t="s">
        <v>3</v>
      </c>
      <c r="H170" s="28">
        <f>Source!AW54</f>
        <v>1</v>
      </c>
      <c r="I170" s="28">
        <f>IF(Source!BC54&lt;&gt; 0, Source!BC54, 1)</f>
        <v>4.1900000000000004</v>
      </c>
      <c r="J170" s="39">
        <f>Source!O54</f>
        <v>232697.98</v>
      </c>
      <c r="K170" s="39"/>
      <c r="Q170">
        <f>ROUND((Source!DN54/100)*ROUND((Source!AF54*Source!AV54)*Source!I54, 2), 2)</f>
        <v>0</v>
      </c>
      <c r="R170">
        <f>Source!X54</f>
        <v>0</v>
      </c>
      <c r="S170">
        <f>ROUND((Source!DO54/100)*ROUND((Source!AF54*Source!AV54)*Source!I54, 2), 2)</f>
        <v>0</v>
      </c>
      <c r="T170">
        <f>Source!Y54</f>
        <v>0</v>
      </c>
      <c r="U170">
        <f>ROUND((175/100)*ROUND((Source!AE54*Source!AV54)*Source!I54, 2), 2)</f>
        <v>0</v>
      </c>
      <c r="V170">
        <f>ROUND((157/100)*ROUND(Source!CS54*Source!I54, 2), 2)</f>
        <v>0</v>
      </c>
    </row>
    <row r="171" spans="1:22" ht="14.25" x14ac:dyDescent="0.2">
      <c r="A171" s="34"/>
      <c r="B171" s="35"/>
      <c r="C171" s="35" t="s">
        <v>679</v>
      </c>
      <c r="D171" s="36" t="s">
        <v>680</v>
      </c>
      <c r="E171" s="28">
        <f>Source!BZ52</f>
        <v>85</v>
      </c>
      <c r="F171" s="38"/>
      <c r="G171" s="37"/>
      <c r="H171" s="28"/>
      <c r="I171" s="28"/>
      <c r="J171" s="39">
        <f>SUM(R163:R170)</f>
        <v>32284.14</v>
      </c>
      <c r="K171" s="39"/>
    </row>
    <row r="172" spans="1:22" ht="14.25" x14ac:dyDescent="0.2">
      <c r="A172" s="34"/>
      <c r="B172" s="35"/>
      <c r="C172" s="35" t="s">
        <v>681</v>
      </c>
      <c r="D172" s="36" t="s">
        <v>680</v>
      </c>
      <c r="E172" s="28">
        <f>Source!CA52</f>
        <v>41</v>
      </c>
      <c r="F172" s="38"/>
      <c r="G172" s="37"/>
      <c r="H172" s="28"/>
      <c r="I172" s="28"/>
      <c r="J172" s="39">
        <f>SUM(T163:T171)</f>
        <v>15572.35</v>
      </c>
      <c r="K172" s="39"/>
    </row>
    <row r="173" spans="1:22" ht="14.25" x14ac:dyDescent="0.2">
      <c r="A173" s="34"/>
      <c r="B173" s="35"/>
      <c r="C173" s="35" t="s">
        <v>682</v>
      </c>
      <c r="D173" s="36" t="s">
        <v>680</v>
      </c>
      <c r="E173" s="28">
        <f>157</f>
        <v>157</v>
      </c>
      <c r="F173" s="38"/>
      <c r="G173" s="37"/>
      <c r="H173" s="28"/>
      <c r="I173" s="28"/>
      <c r="J173" s="39">
        <f>SUM(V163:V172)</f>
        <v>1521.6</v>
      </c>
      <c r="K173" s="39"/>
    </row>
    <row r="174" spans="1:22" ht="14.25" x14ac:dyDescent="0.2">
      <c r="A174" s="46"/>
      <c r="B174" s="47"/>
      <c r="C174" s="47" t="s">
        <v>683</v>
      </c>
      <c r="D174" s="48" t="s">
        <v>684</v>
      </c>
      <c r="E174" s="49">
        <f>Source!AQ52</f>
        <v>33.020000000000003</v>
      </c>
      <c r="F174" s="50"/>
      <c r="G174" s="51" t="str">
        <f>Source!DI52</f>
        <v>)*1,15</v>
      </c>
      <c r="H174" s="49">
        <f>Source!AV52</f>
        <v>1.0469999999999999</v>
      </c>
      <c r="I174" s="49"/>
      <c r="J174" s="52"/>
      <c r="K174" s="52">
        <f>Source!U52</f>
        <v>157.04303745000001</v>
      </c>
    </row>
    <row r="175" spans="1:22" ht="15" x14ac:dyDescent="0.25">
      <c r="A175" s="53"/>
      <c r="B175" s="53"/>
      <c r="C175" s="54" t="s">
        <v>685</v>
      </c>
      <c r="D175" s="53"/>
      <c r="E175" s="53"/>
      <c r="F175" s="53"/>
      <c r="G175" s="53"/>
      <c r="H175" s="53"/>
      <c r="I175" s="55">
        <f>J165+J166+J168+J171+J172+J173+SUM(J169:J170)</f>
        <v>326625.46000000002</v>
      </c>
      <c r="J175" s="55"/>
      <c r="K175" s="56">
        <f>IF(Source!I52&lt;&gt;0, ROUND(I175/Source!I52, 2), 0)</f>
        <v>82689.990000000005</v>
      </c>
      <c r="P175" s="43">
        <f>J165+J166+J168+J171+J172+J173+SUM(J169:J170)</f>
        <v>326625.46000000002</v>
      </c>
    </row>
    <row r="177" spans="1:22" ht="57" x14ac:dyDescent="0.2">
      <c r="A177" s="34" t="str">
        <f>Source!E55</f>
        <v>12</v>
      </c>
      <c r="B177" s="35" t="str">
        <f>Source!F55</f>
        <v>3.11-10-12</v>
      </c>
      <c r="C177" s="35" t="s">
        <v>164</v>
      </c>
      <c r="D177" s="36" t="str">
        <f>Source!H55</f>
        <v>100 м2 стяжки</v>
      </c>
      <c r="E177" s="28">
        <f>Source!I55</f>
        <v>3.95</v>
      </c>
      <c r="F177" s="38"/>
      <c r="G177" s="37"/>
      <c r="H177" s="28"/>
      <c r="I177" s="28"/>
      <c r="J177" s="39"/>
      <c r="K177" s="39"/>
      <c r="Q177">
        <f>ROUND((Source!DN55/100)*ROUND((Source!AF55*Source!AV55)*Source!I55, 2), 2)</f>
        <v>217.98</v>
      </c>
      <c r="R177">
        <f>Source!X55</f>
        <v>3634.4</v>
      </c>
      <c r="S177">
        <f>ROUND((Source!DO55/100)*ROUND((Source!AF55*Source!AV55)*Source!I55, 2), 2)</f>
        <v>146.72</v>
      </c>
      <c r="T177">
        <f>Source!Y55</f>
        <v>1753.07</v>
      </c>
      <c r="U177">
        <f>ROUND((175/100)*ROUND((Source!AE55*Source!AV55)*Source!I55, 2), 2)</f>
        <v>13.21</v>
      </c>
      <c r="V177">
        <f>ROUND((157/100)*ROUND(Source!CS55*Source!I55, 2), 2)</f>
        <v>241.73</v>
      </c>
    </row>
    <row r="178" spans="1:22" x14ac:dyDescent="0.2">
      <c r="C178" s="40" t="str">
        <f>"Объем: "&amp;Source!I55&amp;"=395/"&amp;"100"</f>
        <v>Объем: 3,95=395/100</v>
      </c>
    </row>
    <row r="179" spans="1:22" ht="14.25" x14ac:dyDescent="0.2">
      <c r="A179" s="34"/>
      <c r="B179" s="35"/>
      <c r="C179" s="35" t="s">
        <v>675</v>
      </c>
      <c r="D179" s="36"/>
      <c r="E179" s="28"/>
      <c r="F179" s="38">
        <f>Source!AO55</f>
        <v>44.07</v>
      </c>
      <c r="G179" s="37" t="str">
        <f>Source!DG55</f>
        <v>)*1,15</v>
      </c>
      <c r="H179" s="28">
        <f>Source!AV55</f>
        <v>1.0469999999999999</v>
      </c>
      <c r="I179" s="28">
        <f>IF(Source!BA55&lt;&gt; 0, Source!BA55, 1)</f>
        <v>20.399999999999999</v>
      </c>
      <c r="J179" s="39">
        <f>Source!S55</f>
        <v>4275.7700000000004</v>
      </c>
      <c r="K179" s="39"/>
    </row>
    <row r="180" spans="1:22" ht="14.25" x14ac:dyDescent="0.2">
      <c r="A180" s="34"/>
      <c r="B180" s="35"/>
      <c r="C180" s="35" t="s">
        <v>676</v>
      </c>
      <c r="D180" s="36"/>
      <c r="E180" s="28"/>
      <c r="F180" s="38">
        <f>Source!AM55</f>
        <v>9.1</v>
      </c>
      <c r="G180" s="37" t="str">
        <f>Source!DE55</f>
        <v>)*1,25</v>
      </c>
      <c r="H180" s="28">
        <f>Source!AV55</f>
        <v>1.0469999999999999</v>
      </c>
      <c r="I180" s="28">
        <f>IF(Source!BB55&lt;&gt; 0, Source!BB55, 1)</f>
        <v>7.24</v>
      </c>
      <c r="J180" s="39">
        <f>Source!Q55</f>
        <v>340.59</v>
      </c>
      <c r="K180" s="39"/>
    </row>
    <row r="181" spans="1:22" ht="14.25" x14ac:dyDescent="0.2">
      <c r="A181" s="34"/>
      <c r="B181" s="35"/>
      <c r="C181" s="35" t="s">
        <v>677</v>
      </c>
      <c r="D181" s="36"/>
      <c r="E181" s="28"/>
      <c r="F181" s="38">
        <f>Source!AN55</f>
        <v>1.46</v>
      </c>
      <c r="G181" s="37" t="str">
        <f>Source!DF55</f>
        <v>)*1,25</v>
      </c>
      <c r="H181" s="28">
        <f>Source!AV55</f>
        <v>1.0469999999999999</v>
      </c>
      <c r="I181" s="28">
        <f>IF(Source!BS55&lt;&gt; 0, Source!BS55, 1)</f>
        <v>20.399999999999999</v>
      </c>
      <c r="J181" s="41">
        <f>Source!R55</f>
        <v>153.97</v>
      </c>
      <c r="K181" s="39"/>
    </row>
    <row r="182" spans="1:22" ht="14.25" x14ac:dyDescent="0.2">
      <c r="A182" s="34"/>
      <c r="B182" s="35"/>
      <c r="C182" s="35" t="s">
        <v>678</v>
      </c>
      <c r="D182" s="36"/>
      <c r="E182" s="28"/>
      <c r="F182" s="38">
        <f>Source!AL55</f>
        <v>0.28999999999999998</v>
      </c>
      <c r="G182" s="37" t="str">
        <f>Source!DD55</f>
        <v/>
      </c>
      <c r="H182" s="28">
        <f>Source!AW55</f>
        <v>1</v>
      </c>
      <c r="I182" s="28">
        <f>IF(Source!BC55&lt;&gt; 0, Source!BC55, 1)</f>
        <v>4.17</v>
      </c>
      <c r="J182" s="39">
        <f>Source!P55</f>
        <v>4.78</v>
      </c>
      <c r="K182" s="39"/>
    </row>
    <row r="183" spans="1:22" ht="71.25" x14ac:dyDescent="0.2">
      <c r="A183" s="34" t="str">
        <f>Source!E56</f>
        <v>12,1</v>
      </c>
      <c r="B183" s="35" t="str">
        <f>Source!F56</f>
        <v>1.3-2-179</v>
      </c>
      <c r="C183" s="35" t="s">
        <v>160</v>
      </c>
      <c r="D183" s="36" t="str">
        <f>Source!H56</f>
        <v>т</v>
      </c>
      <c r="E183" s="28">
        <f>Source!I56</f>
        <v>0.66359999999999997</v>
      </c>
      <c r="F183" s="38">
        <f>Source!AK56</f>
        <v>16698.189999999999</v>
      </c>
      <c r="G183" s="42" t="s">
        <v>3</v>
      </c>
      <c r="H183" s="28">
        <f>Source!AW56</f>
        <v>1</v>
      </c>
      <c r="I183" s="28">
        <f>IF(Source!BC56&lt;&gt; 0, Source!BC56, 1)</f>
        <v>4.1900000000000004</v>
      </c>
      <c r="J183" s="39">
        <f>Source!O56</f>
        <v>46429.05</v>
      </c>
      <c r="K183" s="39"/>
      <c r="Q183">
        <f>ROUND((Source!DN56/100)*ROUND((Source!AF56*Source!AV56)*Source!I56, 2), 2)</f>
        <v>0</v>
      </c>
      <c r="R183">
        <f>Source!X56</f>
        <v>0</v>
      </c>
      <c r="S183">
        <f>ROUND((Source!DO56/100)*ROUND((Source!AF56*Source!AV56)*Source!I56, 2), 2)</f>
        <v>0</v>
      </c>
      <c r="T183">
        <f>Source!Y56</f>
        <v>0</v>
      </c>
      <c r="U183">
        <f>ROUND((175/100)*ROUND((Source!AE56*Source!AV56)*Source!I56, 2), 2)</f>
        <v>0</v>
      </c>
      <c r="V183">
        <f>ROUND((157/100)*ROUND(Source!CS56*Source!I56, 2), 2)</f>
        <v>0</v>
      </c>
    </row>
    <row r="184" spans="1:22" ht="14.25" x14ac:dyDescent="0.2">
      <c r="A184" s="34"/>
      <c r="B184" s="35"/>
      <c r="C184" s="35" t="s">
        <v>679</v>
      </c>
      <c r="D184" s="36" t="s">
        <v>680</v>
      </c>
      <c r="E184" s="28">
        <f>Source!BZ55</f>
        <v>85</v>
      </c>
      <c r="F184" s="38"/>
      <c r="G184" s="37"/>
      <c r="H184" s="28"/>
      <c r="I184" s="28"/>
      <c r="J184" s="39">
        <f>SUM(R177:R183)</f>
        <v>3634.4</v>
      </c>
      <c r="K184" s="39"/>
    </row>
    <row r="185" spans="1:22" ht="14.25" x14ac:dyDescent="0.2">
      <c r="A185" s="34"/>
      <c r="B185" s="35"/>
      <c r="C185" s="35" t="s">
        <v>681</v>
      </c>
      <c r="D185" s="36" t="s">
        <v>680</v>
      </c>
      <c r="E185" s="28">
        <f>Source!CA55</f>
        <v>41</v>
      </c>
      <c r="F185" s="38"/>
      <c r="G185" s="37"/>
      <c r="H185" s="28"/>
      <c r="I185" s="28"/>
      <c r="J185" s="39">
        <f>SUM(T177:T184)</f>
        <v>1753.07</v>
      </c>
      <c r="K185" s="39"/>
    </row>
    <row r="186" spans="1:22" ht="14.25" x14ac:dyDescent="0.2">
      <c r="A186" s="34"/>
      <c r="B186" s="35"/>
      <c r="C186" s="35" t="s">
        <v>682</v>
      </c>
      <c r="D186" s="36" t="s">
        <v>680</v>
      </c>
      <c r="E186" s="28">
        <f>157</f>
        <v>157</v>
      </c>
      <c r="F186" s="38"/>
      <c r="G186" s="37"/>
      <c r="H186" s="28"/>
      <c r="I186" s="28"/>
      <c r="J186" s="39">
        <f>SUM(V177:V185)</f>
        <v>241.73</v>
      </c>
      <c r="K186" s="39"/>
    </row>
    <row r="187" spans="1:22" ht="14.25" x14ac:dyDescent="0.2">
      <c r="A187" s="46"/>
      <c r="B187" s="47"/>
      <c r="C187" s="47" t="s">
        <v>683</v>
      </c>
      <c r="D187" s="48" t="s">
        <v>684</v>
      </c>
      <c r="E187" s="49">
        <f>Source!AQ55</f>
        <v>3.44</v>
      </c>
      <c r="F187" s="50"/>
      <c r="G187" s="51" t="str">
        <f>Source!DI55</f>
        <v>)*1,15</v>
      </c>
      <c r="H187" s="49">
        <f>Source!AV55</f>
        <v>1.0469999999999999</v>
      </c>
      <c r="I187" s="49"/>
      <c r="J187" s="52"/>
      <c r="K187" s="52">
        <f>Source!U55</f>
        <v>16.360631399999995</v>
      </c>
    </row>
    <row r="188" spans="1:22" ht="15" x14ac:dyDescent="0.25">
      <c r="A188" s="53"/>
      <c r="B188" s="53"/>
      <c r="C188" s="54" t="s">
        <v>685</v>
      </c>
      <c r="D188" s="53"/>
      <c r="E188" s="53"/>
      <c r="F188" s="53"/>
      <c r="G188" s="53"/>
      <c r="H188" s="53"/>
      <c r="I188" s="55">
        <f>J179+J180+J182+J184+J185+J186+SUM(J183:J183)</f>
        <v>56679.39</v>
      </c>
      <c r="J188" s="55"/>
      <c r="K188" s="56">
        <f>IF(Source!I55&lt;&gt;0, ROUND(I188/Source!I55, 2), 0)</f>
        <v>14349.21</v>
      </c>
      <c r="P188" s="43">
        <f>J179+J180+J182+J184+J185+J186+SUM(J183:J183)</f>
        <v>56679.39</v>
      </c>
    </row>
    <row r="190" spans="1:22" ht="28.5" x14ac:dyDescent="0.2">
      <c r="A190" s="34" t="str">
        <f>Source!E57</f>
        <v>13</v>
      </c>
      <c r="B190" s="35" t="str">
        <f>Source!F57</f>
        <v>3.11-26-2</v>
      </c>
      <c r="C190" s="35" t="s">
        <v>169</v>
      </c>
      <c r="D190" s="36" t="str">
        <f>Source!H57</f>
        <v>100 м2 покрытия</v>
      </c>
      <c r="E190" s="28">
        <f>Source!I57</f>
        <v>3.95</v>
      </c>
      <c r="F190" s="38"/>
      <c r="G190" s="37"/>
      <c r="H190" s="28"/>
      <c r="I190" s="28"/>
      <c r="J190" s="39"/>
      <c r="K190" s="39"/>
      <c r="Q190">
        <f>ROUND((Source!DN57/100)*ROUND((Source!AF57*Source!AV57)*Source!I57, 2), 2)</f>
        <v>2248.46</v>
      </c>
      <c r="R190">
        <f>Source!X57</f>
        <v>37488.76</v>
      </c>
      <c r="S190">
        <f>ROUND((Source!DO57/100)*ROUND((Source!AF57*Source!AV57)*Source!I57, 2), 2)</f>
        <v>1513.39</v>
      </c>
      <c r="T190">
        <f>Source!Y57</f>
        <v>18082.810000000001</v>
      </c>
      <c r="U190">
        <f>ROUND((175/100)*ROUND((Source!AE57*Source!AV57)*Source!I57, 2), 2)</f>
        <v>136.88999999999999</v>
      </c>
      <c r="V190">
        <f>ROUND((157/100)*ROUND(Source!CS57*Source!I57, 2), 2)</f>
        <v>2505.09</v>
      </c>
    </row>
    <row r="191" spans="1:22" x14ac:dyDescent="0.2">
      <c r="C191" s="40" t="str">
        <f>"Объем: "&amp;Source!I57&amp;"=395/"&amp;"100"</f>
        <v>Объем: 3,95=395/100</v>
      </c>
    </row>
    <row r="192" spans="1:22" ht="14.25" x14ac:dyDescent="0.2">
      <c r="A192" s="34"/>
      <c r="B192" s="35"/>
      <c r="C192" s="35" t="s">
        <v>675</v>
      </c>
      <c r="D192" s="36"/>
      <c r="E192" s="28"/>
      <c r="F192" s="38">
        <f>Source!AO57</f>
        <v>454.58</v>
      </c>
      <c r="G192" s="37" t="str">
        <f>Source!DG57</f>
        <v>)*1,15</v>
      </c>
      <c r="H192" s="28">
        <f>Source!AV57</f>
        <v>1.0469999999999999</v>
      </c>
      <c r="I192" s="28">
        <f>IF(Source!BA57&lt;&gt; 0, Source!BA57, 1)</f>
        <v>20.399999999999999</v>
      </c>
      <c r="J192" s="39">
        <f>Source!S57</f>
        <v>44104.42</v>
      </c>
      <c r="K192" s="39"/>
    </row>
    <row r="193" spans="1:22" ht="14.25" x14ac:dyDescent="0.2">
      <c r="A193" s="34"/>
      <c r="B193" s="35"/>
      <c r="C193" s="35" t="s">
        <v>676</v>
      </c>
      <c r="D193" s="36"/>
      <c r="E193" s="28"/>
      <c r="F193" s="38">
        <f>Source!AM57</f>
        <v>64.02</v>
      </c>
      <c r="G193" s="37" t="str">
        <f>Source!DE57</f>
        <v>)*1,25</v>
      </c>
      <c r="H193" s="28">
        <f>Source!AV57</f>
        <v>1.0469999999999999</v>
      </c>
      <c r="I193" s="28">
        <f>IF(Source!BB57&lt;&gt; 0, Source!BB57, 1)</f>
        <v>8.9499999999999993</v>
      </c>
      <c r="J193" s="39">
        <f>Source!Q57</f>
        <v>2962.05</v>
      </c>
      <c r="K193" s="39"/>
    </row>
    <row r="194" spans="1:22" ht="14.25" x14ac:dyDescent="0.2">
      <c r="A194" s="34"/>
      <c r="B194" s="35"/>
      <c r="C194" s="35" t="s">
        <v>677</v>
      </c>
      <c r="D194" s="36"/>
      <c r="E194" s="28"/>
      <c r="F194" s="38">
        <f>Source!AN57</f>
        <v>15.13</v>
      </c>
      <c r="G194" s="37" t="str">
        <f>Source!DF57</f>
        <v>)*1,25</v>
      </c>
      <c r="H194" s="28">
        <f>Source!AV57</f>
        <v>1.0469999999999999</v>
      </c>
      <c r="I194" s="28">
        <f>IF(Source!BS57&lt;&gt; 0, Source!BS57, 1)</f>
        <v>20.399999999999999</v>
      </c>
      <c r="J194" s="41">
        <f>Source!R57</f>
        <v>1595.6</v>
      </c>
      <c r="K194" s="39"/>
    </row>
    <row r="195" spans="1:22" ht="14.25" x14ac:dyDescent="0.2">
      <c r="A195" s="34"/>
      <c r="B195" s="35"/>
      <c r="C195" s="35" t="s">
        <v>678</v>
      </c>
      <c r="D195" s="36"/>
      <c r="E195" s="28"/>
      <c r="F195" s="38">
        <f>Source!AL57</f>
        <v>0.98</v>
      </c>
      <c r="G195" s="37" t="str">
        <f>Source!DD57</f>
        <v/>
      </c>
      <c r="H195" s="28">
        <f>Source!AW57</f>
        <v>1</v>
      </c>
      <c r="I195" s="28">
        <f>IF(Source!BC57&lt;&gt; 0, Source!BC57, 1)</f>
        <v>5.23</v>
      </c>
      <c r="J195" s="39">
        <f>Source!P57</f>
        <v>20.25</v>
      </c>
      <c r="K195" s="39"/>
    </row>
    <row r="196" spans="1:22" ht="14.25" x14ac:dyDescent="0.2">
      <c r="A196" s="34" t="str">
        <f>Source!E58</f>
        <v>13,1</v>
      </c>
      <c r="B196" s="35" t="str">
        <f>Source!F58</f>
        <v>1.1-1-389</v>
      </c>
      <c r="C196" s="35" t="s">
        <v>176</v>
      </c>
      <c r="D196" s="36" t="str">
        <f>Source!H58</f>
        <v>т</v>
      </c>
      <c r="E196" s="28">
        <f>Source!I58</f>
        <v>0.18288499999999999</v>
      </c>
      <c r="F196" s="38">
        <f>Source!AK58</f>
        <v>43326.77</v>
      </c>
      <c r="G196" s="42" t="s">
        <v>3</v>
      </c>
      <c r="H196" s="28">
        <f>Source!AW58</f>
        <v>1</v>
      </c>
      <c r="I196" s="28">
        <f>IF(Source!BC58&lt;&gt; 0, Source!BC58, 1)</f>
        <v>1.29</v>
      </c>
      <c r="J196" s="39">
        <f>Source!O58</f>
        <v>10221.719999999999</v>
      </c>
      <c r="K196" s="39"/>
      <c r="Q196">
        <f>ROUND((Source!DN58/100)*ROUND((Source!AF58*Source!AV58)*Source!I58, 2), 2)</f>
        <v>0</v>
      </c>
      <c r="R196">
        <f>Source!X58</f>
        <v>0</v>
      </c>
      <c r="S196">
        <f>ROUND((Source!DO58/100)*ROUND((Source!AF58*Source!AV58)*Source!I58, 2), 2)</f>
        <v>0</v>
      </c>
      <c r="T196">
        <f>Source!Y58</f>
        <v>0</v>
      </c>
      <c r="U196">
        <f>ROUND((175/100)*ROUND((Source!AE58*Source!AV58)*Source!I58, 2), 2)</f>
        <v>0</v>
      </c>
      <c r="V196">
        <f>ROUND((157/100)*ROUND(Source!CS58*Source!I58, 2), 2)</f>
        <v>0</v>
      </c>
    </row>
    <row r="197" spans="1:22" ht="57" x14ac:dyDescent="0.2">
      <c r="A197" s="34" t="str">
        <f>Source!E59</f>
        <v>13,2</v>
      </c>
      <c r="B197" s="35" t="str">
        <f>Source!F59</f>
        <v>1.1-1-554</v>
      </c>
      <c r="C197" s="35" t="s">
        <v>180</v>
      </c>
      <c r="D197" s="36" t="str">
        <f>Source!H59</f>
        <v>м2</v>
      </c>
      <c r="E197" s="28">
        <f>Source!I59</f>
        <v>422.65</v>
      </c>
      <c r="F197" s="38">
        <f>Source!AK59</f>
        <v>106.73</v>
      </c>
      <c r="G197" s="42" t="s">
        <v>3</v>
      </c>
      <c r="H197" s="28">
        <f>Source!AW59</f>
        <v>1</v>
      </c>
      <c r="I197" s="28">
        <f>IF(Source!BC59&lt;&gt; 0, Source!BC59, 1)</f>
        <v>1.77</v>
      </c>
      <c r="J197" s="39">
        <f>Source!O59</f>
        <v>79843.7</v>
      </c>
      <c r="K197" s="39"/>
      <c r="Q197">
        <f>ROUND((Source!DN59/100)*ROUND((Source!AF59*Source!AV59)*Source!I59, 2), 2)</f>
        <v>0</v>
      </c>
      <c r="R197">
        <f>Source!X59</f>
        <v>0</v>
      </c>
      <c r="S197">
        <f>ROUND((Source!DO59/100)*ROUND((Source!AF59*Source!AV59)*Source!I59, 2), 2)</f>
        <v>0</v>
      </c>
      <c r="T197">
        <f>Source!Y59</f>
        <v>0</v>
      </c>
      <c r="U197">
        <f>ROUND((175/100)*ROUND((Source!AE59*Source!AV59)*Source!I59, 2), 2)</f>
        <v>0</v>
      </c>
      <c r="V197">
        <f>ROUND((157/100)*ROUND(Source!CS59*Source!I59, 2), 2)</f>
        <v>0</v>
      </c>
    </row>
    <row r="198" spans="1:22" ht="14.25" x14ac:dyDescent="0.2">
      <c r="A198" s="34"/>
      <c r="B198" s="35"/>
      <c r="C198" s="35" t="s">
        <v>679</v>
      </c>
      <c r="D198" s="36" t="s">
        <v>680</v>
      </c>
      <c r="E198" s="28">
        <f>Source!BZ57</f>
        <v>85</v>
      </c>
      <c r="F198" s="38"/>
      <c r="G198" s="37"/>
      <c r="H198" s="28"/>
      <c r="I198" s="28"/>
      <c r="J198" s="39">
        <f>SUM(R190:R197)</f>
        <v>37488.76</v>
      </c>
      <c r="K198" s="39"/>
    </row>
    <row r="199" spans="1:22" ht="14.25" x14ac:dyDescent="0.2">
      <c r="A199" s="34"/>
      <c r="B199" s="35"/>
      <c r="C199" s="35" t="s">
        <v>681</v>
      </c>
      <c r="D199" s="36" t="s">
        <v>680</v>
      </c>
      <c r="E199" s="28">
        <f>Source!CA57</f>
        <v>41</v>
      </c>
      <c r="F199" s="38"/>
      <c r="G199" s="37"/>
      <c r="H199" s="28"/>
      <c r="I199" s="28"/>
      <c r="J199" s="39">
        <f>SUM(T190:T198)</f>
        <v>18082.810000000001</v>
      </c>
      <c r="K199" s="39"/>
    </row>
    <row r="200" spans="1:22" ht="14.25" x14ac:dyDescent="0.2">
      <c r="A200" s="34"/>
      <c r="B200" s="35"/>
      <c r="C200" s="35" t="s">
        <v>682</v>
      </c>
      <c r="D200" s="36" t="s">
        <v>680</v>
      </c>
      <c r="E200" s="28">
        <f>157</f>
        <v>157</v>
      </c>
      <c r="F200" s="38"/>
      <c r="G200" s="37"/>
      <c r="H200" s="28"/>
      <c r="I200" s="28"/>
      <c r="J200" s="39">
        <f>SUM(V190:V199)</f>
        <v>2505.09</v>
      </c>
      <c r="K200" s="39"/>
    </row>
    <row r="201" spans="1:22" ht="14.25" x14ac:dyDescent="0.2">
      <c r="A201" s="46"/>
      <c r="B201" s="47"/>
      <c r="C201" s="47" t="s">
        <v>683</v>
      </c>
      <c r="D201" s="48" t="s">
        <v>684</v>
      </c>
      <c r="E201" s="49">
        <f>Source!AQ57</f>
        <v>38.200000000000003</v>
      </c>
      <c r="F201" s="50"/>
      <c r="G201" s="51" t="str">
        <f>Source!DI57</f>
        <v>)*1,15</v>
      </c>
      <c r="H201" s="49">
        <f>Source!AV57</f>
        <v>1.0469999999999999</v>
      </c>
      <c r="I201" s="49"/>
      <c r="J201" s="52"/>
      <c r="K201" s="52">
        <f>Source!U57</f>
        <v>181.67910449999999</v>
      </c>
    </row>
    <row r="202" spans="1:22" ht="15" x14ac:dyDescent="0.25">
      <c r="A202" s="53"/>
      <c r="B202" s="53"/>
      <c r="C202" s="54" t="s">
        <v>685</v>
      </c>
      <c r="D202" s="53"/>
      <c r="E202" s="53"/>
      <c r="F202" s="53"/>
      <c r="G202" s="53"/>
      <c r="H202" s="53"/>
      <c r="I202" s="55">
        <f>J192+J193+J195+J198+J199+J200+SUM(J196:J197)</f>
        <v>195228.79999999999</v>
      </c>
      <c r="J202" s="55"/>
      <c r="K202" s="56">
        <f>IF(Source!I57&lt;&gt;0, ROUND(I202/Source!I57, 2), 0)</f>
        <v>49425.01</v>
      </c>
      <c r="P202" s="43">
        <f>J192+J193+J195+J198+J199+J200+SUM(J196:J197)</f>
        <v>195228.79999999999</v>
      </c>
    </row>
    <row r="204" spans="1:22" ht="42.75" x14ac:dyDescent="0.2">
      <c r="A204" s="34" t="str">
        <f>Source!E60</f>
        <v>14</v>
      </c>
      <c r="B204" s="35" t="str">
        <f>Source!F60</f>
        <v>3.11-29-2</v>
      </c>
      <c r="C204" s="35" t="s">
        <v>184</v>
      </c>
      <c r="D204" s="36" t="str">
        <f>Source!H60</f>
        <v>100 м плинтусов</v>
      </c>
      <c r="E204" s="28">
        <f>Source!I60</f>
        <v>2.98</v>
      </c>
      <c r="F204" s="38"/>
      <c r="G204" s="37"/>
      <c r="H204" s="28"/>
      <c r="I204" s="28"/>
      <c r="J204" s="39"/>
      <c r="K204" s="39"/>
      <c r="Q204">
        <f>ROUND((Source!DN60/100)*ROUND((Source!AF60*Source!AV60)*Source!I60, 2), 2)</f>
        <v>429.4</v>
      </c>
      <c r="R204">
        <f>Source!X60</f>
        <v>7159.32</v>
      </c>
      <c r="S204">
        <f>ROUND((Source!DO60/100)*ROUND((Source!AF60*Source!AV60)*Source!I60, 2), 2)</f>
        <v>289.02</v>
      </c>
      <c r="T204">
        <f>Source!Y60</f>
        <v>3453.32</v>
      </c>
      <c r="U204">
        <f>ROUND((175/100)*ROUND((Source!AE60*Source!AV60)*Source!I60, 2), 2)</f>
        <v>6</v>
      </c>
      <c r="V204">
        <f>ROUND((157/100)*ROUND(Source!CS60*Source!I60, 2), 2)</f>
        <v>109.92</v>
      </c>
    </row>
    <row r="205" spans="1:22" x14ac:dyDescent="0.2">
      <c r="C205" s="40" t="str">
        <f>"Объем: "&amp;Source!I60&amp;"=298/"&amp;"100"</f>
        <v>Объем: 2,98=298/100</v>
      </c>
    </row>
    <row r="206" spans="1:22" ht="14.25" x14ac:dyDescent="0.2">
      <c r="A206" s="34"/>
      <c r="B206" s="35"/>
      <c r="C206" s="35" t="s">
        <v>675</v>
      </c>
      <c r="D206" s="36"/>
      <c r="E206" s="28"/>
      <c r="F206" s="38">
        <f>Source!AO60</f>
        <v>115.07</v>
      </c>
      <c r="G206" s="37" t="str">
        <f>Source!DG60</f>
        <v>)*1,15</v>
      </c>
      <c r="H206" s="28">
        <f>Source!AV60</f>
        <v>1.0469999999999999</v>
      </c>
      <c r="I206" s="28">
        <f>IF(Source!BA60&lt;&gt; 0, Source!BA60, 1)</f>
        <v>20.399999999999999</v>
      </c>
      <c r="J206" s="39">
        <f>Source!S60</f>
        <v>8422.73</v>
      </c>
      <c r="K206" s="39"/>
    </row>
    <row r="207" spans="1:22" ht="14.25" x14ac:dyDescent="0.2">
      <c r="A207" s="34"/>
      <c r="B207" s="35"/>
      <c r="C207" s="35" t="s">
        <v>676</v>
      </c>
      <c r="D207" s="36"/>
      <c r="E207" s="28"/>
      <c r="F207" s="38">
        <f>Source!AM60</f>
        <v>3.72</v>
      </c>
      <c r="G207" s="37" t="str">
        <f>Source!DE60</f>
        <v>)*1,25</v>
      </c>
      <c r="H207" s="28">
        <f>Source!AV60</f>
        <v>1.0469999999999999</v>
      </c>
      <c r="I207" s="28">
        <f>IF(Source!BB60&lt;&gt; 0, Source!BB60, 1)</f>
        <v>8.9499999999999993</v>
      </c>
      <c r="J207" s="39">
        <f>Source!Q60</f>
        <v>129.85</v>
      </c>
      <c r="K207" s="39"/>
    </row>
    <row r="208" spans="1:22" ht="14.25" x14ac:dyDescent="0.2">
      <c r="A208" s="34"/>
      <c r="B208" s="35"/>
      <c r="C208" s="35" t="s">
        <v>677</v>
      </c>
      <c r="D208" s="36"/>
      <c r="E208" s="28"/>
      <c r="F208" s="38">
        <f>Source!AN60</f>
        <v>0.88</v>
      </c>
      <c r="G208" s="37" t="str">
        <f>Source!DF60</f>
        <v>)*1,25</v>
      </c>
      <c r="H208" s="28">
        <f>Source!AV60</f>
        <v>1.0469999999999999</v>
      </c>
      <c r="I208" s="28">
        <f>IF(Source!BS60&lt;&gt; 0, Source!BS60, 1)</f>
        <v>20.399999999999999</v>
      </c>
      <c r="J208" s="41">
        <f>Source!R60</f>
        <v>70.010000000000005</v>
      </c>
      <c r="K208" s="39"/>
    </row>
    <row r="209" spans="1:22" ht="14.25" x14ac:dyDescent="0.2">
      <c r="A209" s="34" t="str">
        <f>Source!E61</f>
        <v>14,1</v>
      </c>
      <c r="B209" s="35" t="str">
        <f>Source!F61</f>
        <v>1.1-1-395</v>
      </c>
      <c r="C209" s="35" t="s">
        <v>189</v>
      </c>
      <c r="D209" s="36" t="str">
        <f>Source!H61</f>
        <v>т</v>
      </c>
      <c r="E209" s="28">
        <f>Source!I61</f>
        <v>1.5347E-2</v>
      </c>
      <c r="F209" s="38">
        <f>Source!AK61</f>
        <v>11373.59</v>
      </c>
      <c r="G209" s="42" t="s">
        <v>3</v>
      </c>
      <c r="H209" s="28">
        <f>Source!AW61</f>
        <v>1</v>
      </c>
      <c r="I209" s="28">
        <f>IF(Source!BC61&lt;&gt; 0, Source!BC61, 1)</f>
        <v>3.01</v>
      </c>
      <c r="J209" s="39">
        <f>Source!O61</f>
        <v>525.4</v>
      </c>
      <c r="K209" s="39"/>
      <c r="Q209">
        <f>ROUND((Source!DN61/100)*ROUND((Source!AF61*Source!AV61)*Source!I61, 2), 2)</f>
        <v>0</v>
      </c>
      <c r="R209">
        <f>Source!X61</f>
        <v>0</v>
      </c>
      <c r="S209">
        <f>ROUND((Source!DO61/100)*ROUND((Source!AF61*Source!AV61)*Source!I61, 2), 2)</f>
        <v>0</v>
      </c>
      <c r="T209">
        <f>Source!Y61</f>
        <v>0</v>
      </c>
      <c r="U209">
        <f>ROUND((175/100)*ROUND((Source!AE61*Source!AV61)*Source!I61, 2), 2)</f>
        <v>0</v>
      </c>
      <c r="V209">
        <f>ROUND((157/100)*ROUND(Source!CS61*Source!I61, 2), 2)</f>
        <v>0</v>
      </c>
    </row>
    <row r="210" spans="1:22" ht="28.5" x14ac:dyDescent="0.2">
      <c r="A210" s="34" t="str">
        <f>Source!E62</f>
        <v>14,2</v>
      </c>
      <c r="B210" s="35" t="str">
        <f>Source!F62</f>
        <v>1.1-1-289</v>
      </c>
      <c r="C210" s="35" t="s">
        <v>193</v>
      </c>
      <c r="D210" s="36" t="str">
        <f>Source!H62</f>
        <v>м</v>
      </c>
      <c r="E210" s="28">
        <f>Source!I62</f>
        <v>298</v>
      </c>
      <c r="F210" s="38">
        <f>Source!AK62</f>
        <v>22.18</v>
      </c>
      <c r="G210" s="42" t="s">
        <v>3</v>
      </c>
      <c r="H210" s="28">
        <f>Source!AW62</f>
        <v>1</v>
      </c>
      <c r="I210" s="28">
        <f>IF(Source!BC62&lt;&gt; 0, Source!BC62, 1)</f>
        <v>1.58</v>
      </c>
      <c r="J210" s="39">
        <f>Source!O62</f>
        <v>10443.23</v>
      </c>
      <c r="K210" s="39"/>
      <c r="Q210">
        <f>ROUND((Source!DN62/100)*ROUND((Source!AF62*Source!AV62)*Source!I62, 2), 2)</f>
        <v>0</v>
      </c>
      <c r="R210">
        <f>Source!X62</f>
        <v>0</v>
      </c>
      <c r="S210">
        <f>ROUND((Source!DO62/100)*ROUND((Source!AF62*Source!AV62)*Source!I62, 2), 2)</f>
        <v>0</v>
      </c>
      <c r="T210">
        <f>Source!Y62</f>
        <v>0</v>
      </c>
      <c r="U210">
        <f>ROUND((175/100)*ROUND((Source!AE62*Source!AV62)*Source!I62, 2), 2)</f>
        <v>0</v>
      </c>
      <c r="V210">
        <f>ROUND((157/100)*ROUND(Source!CS62*Source!I62, 2), 2)</f>
        <v>0</v>
      </c>
    </row>
    <row r="211" spans="1:22" ht="14.25" x14ac:dyDescent="0.2">
      <c r="A211" s="34"/>
      <c r="B211" s="35"/>
      <c r="C211" s="35" t="s">
        <v>679</v>
      </c>
      <c r="D211" s="36" t="s">
        <v>680</v>
      </c>
      <c r="E211" s="28">
        <f>Source!BZ60</f>
        <v>85</v>
      </c>
      <c r="F211" s="38"/>
      <c r="G211" s="37"/>
      <c r="H211" s="28"/>
      <c r="I211" s="28"/>
      <c r="J211" s="39">
        <f>SUM(R204:R210)</f>
        <v>7159.32</v>
      </c>
      <c r="K211" s="39"/>
    </row>
    <row r="212" spans="1:22" ht="14.25" x14ac:dyDescent="0.2">
      <c r="A212" s="34"/>
      <c r="B212" s="35"/>
      <c r="C212" s="35" t="s">
        <v>681</v>
      </c>
      <c r="D212" s="36" t="s">
        <v>680</v>
      </c>
      <c r="E212" s="28">
        <f>Source!CA60</f>
        <v>41</v>
      </c>
      <c r="F212" s="38"/>
      <c r="G212" s="37"/>
      <c r="H212" s="28"/>
      <c r="I212" s="28"/>
      <c r="J212" s="39">
        <f>SUM(T204:T211)</f>
        <v>3453.32</v>
      </c>
      <c r="K212" s="39"/>
    </row>
    <row r="213" spans="1:22" ht="14.25" x14ac:dyDescent="0.2">
      <c r="A213" s="34"/>
      <c r="B213" s="35"/>
      <c r="C213" s="35" t="s">
        <v>682</v>
      </c>
      <c r="D213" s="36" t="s">
        <v>680</v>
      </c>
      <c r="E213" s="28">
        <f>157</f>
        <v>157</v>
      </c>
      <c r="F213" s="38"/>
      <c r="G213" s="37"/>
      <c r="H213" s="28"/>
      <c r="I213" s="28"/>
      <c r="J213" s="39">
        <f>SUM(V204:V212)</f>
        <v>109.92</v>
      </c>
      <c r="K213" s="39"/>
    </row>
    <row r="214" spans="1:22" ht="14.25" x14ac:dyDescent="0.2">
      <c r="A214" s="46"/>
      <c r="B214" s="47"/>
      <c r="C214" s="47" t="s">
        <v>683</v>
      </c>
      <c r="D214" s="48" t="s">
        <v>684</v>
      </c>
      <c r="E214" s="49">
        <f>Source!AQ60</f>
        <v>8.99</v>
      </c>
      <c r="F214" s="50"/>
      <c r="G214" s="51" t="str">
        <f>Source!DI60</f>
        <v>)*1,15</v>
      </c>
      <c r="H214" s="49">
        <f>Source!AV60</f>
        <v>1.0469999999999999</v>
      </c>
      <c r="I214" s="49"/>
      <c r="J214" s="52"/>
      <c r="K214" s="52">
        <f>Source!U60</f>
        <v>32.256740309999998</v>
      </c>
    </row>
    <row r="215" spans="1:22" ht="15" x14ac:dyDescent="0.25">
      <c r="A215" s="53"/>
      <c r="B215" s="53"/>
      <c r="C215" s="54" t="s">
        <v>685</v>
      </c>
      <c r="D215" s="53"/>
      <c r="E215" s="53"/>
      <c r="F215" s="53"/>
      <c r="G215" s="53"/>
      <c r="H215" s="53"/>
      <c r="I215" s="55">
        <f>J206+J207+J211+J212+J213+SUM(J209:J210)</f>
        <v>30243.769999999997</v>
      </c>
      <c r="J215" s="55"/>
      <c r="K215" s="56">
        <f>IF(Source!I60&lt;&gt;0, ROUND(I215/Source!I60, 2), 0)</f>
        <v>10148.92</v>
      </c>
      <c r="P215" s="43">
        <f>J206+J207+J211+J212+J213+SUM(J209:J210)</f>
        <v>30243.769999999997</v>
      </c>
    </row>
    <row r="217" spans="1:22" ht="42.75" x14ac:dyDescent="0.2">
      <c r="A217" s="34" t="str">
        <f>Source!E63</f>
        <v>15</v>
      </c>
      <c r="B217" s="35" t="str">
        <f>Source!F63</f>
        <v>3.15-165-1</v>
      </c>
      <c r="C217" s="35" t="s">
        <v>196</v>
      </c>
      <c r="D217" s="36" t="str">
        <f>Source!H63</f>
        <v>100 м2</v>
      </c>
      <c r="E217" s="28">
        <f>Source!I63</f>
        <v>0.4</v>
      </c>
      <c r="F217" s="38"/>
      <c r="G217" s="37"/>
      <c r="H217" s="28"/>
      <c r="I217" s="28"/>
      <c r="J217" s="39"/>
      <c r="K217" s="39"/>
      <c r="Q217">
        <f>ROUND((Source!DN63/100)*ROUND((Source!AF63*Source!AV63)*Source!I63, 2), 2)</f>
        <v>24.51</v>
      </c>
      <c r="R217">
        <f>Source!X63</f>
        <v>404.98</v>
      </c>
      <c r="S217">
        <f>ROUND((Source!DO63/100)*ROUND((Source!AF63*Source!AV63)*Source!I63, 2), 2)</f>
        <v>15.69</v>
      </c>
      <c r="T217">
        <f>Source!Y63</f>
        <v>204.99</v>
      </c>
      <c r="U217">
        <f>ROUND((175/100)*ROUND((Source!AE63*Source!AV63)*Source!I63, 2), 2)</f>
        <v>0.12</v>
      </c>
      <c r="V217">
        <f>ROUND((157/100)*ROUND(Source!CS63*Source!I63, 2), 2)</f>
        <v>2.29</v>
      </c>
    </row>
    <row r="218" spans="1:22" x14ac:dyDescent="0.2">
      <c r="C218" s="40" t="str">
        <f>"Объем: "&amp;Source!I63&amp;"=40/"&amp;"100"</f>
        <v>Объем: 0,4=40/100</v>
      </c>
    </row>
    <row r="219" spans="1:22" ht="14.25" x14ac:dyDescent="0.2">
      <c r="A219" s="34"/>
      <c r="B219" s="35"/>
      <c r="C219" s="35" t="s">
        <v>675</v>
      </c>
      <c r="D219" s="36"/>
      <c r="E219" s="28"/>
      <c r="F219" s="38">
        <f>Source!AO63</f>
        <v>51.98</v>
      </c>
      <c r="G219" s="37" t="str">
        <f>Source!DG63</f>
        <v>)*1,15</v>
      </c>
      <c r="H219" s="28">
        <f>Source!AV63</f>
        <v>1.0249999999999999</v>
      </c>
      <c r="I219" s="28">
        <f>IF(Source!BA63&lt;&gt; 0, Source!BA63, 1)</f>
        <v>20.399999999999999</v>
      </c>
      <c r="J219" s="39">
        <f>Source!S63</f>
        <v>499.97</v>
      </c>
      <c r="K219" s="39"/>
    </row>
    <row r="220" spans="1:22" ht="14.25" x14ac:dyDescent="0.2">
      <c r="A220" s="34"/>
      <c r="B220" s="35"/>
      <c r="C220" s="35" t="s">
        <v>676</v>
      </c>
      <c r="D220" s="36"/>
      <c r="E220" s="28"/>
      <c r="F220" s="38">
        <f>Source!AM63</f>
        <v>0.82</v>
      </c>
      <c r="G220" s="37" t="str">
        <f>Source!DE63</f>
        <v>)*1,25</v>
      </c>
      <c r="H220" s="28">
        <f>Source!AV63</f>
        <v>1.0249999999999999</v>
      </c>
      <c r="I220" s="28">
        <f>IF(Source!BB63&lt;&gt; 0, Source!BB63, 1)</f>
        <v>7.8</v>
      </c>
      <c r="J220" s="39">
        <f>Source!Q63</f>
        <v>3.28</v>
      </c>
      <c r="K220" s="39"/>
    </row>
    <row r="221" spans="1:22" ht="14.25" x14ac:dyDescent="0.2">
      <c r="A221" s="34"/>
      <c r="B221" s="35"/>
      <c r="C221" s="35" t="s">
        <v>677</v>
      </c>
      <c r="D221" s="36"/>
      <c r="E221" s="28"/>
      <c r="F221" s="38">
        <f>Source!AN63</f>
        <v>0.14000000000000001</v>
      </c>
      <c r="G221" s="37" t="str">
        <f>Source!DF63</f>
        <v>)*1,25</v>
      </c>
      <c r="H221" s="28">
        <f>Source!AV63</f>
        <v>1.0249999999999999</v>
      </c>
      <c r="I221" s="28">
        <f>IF(Source!BS63&lt;&gt; 0, Source!BS63, 1)</f>
        <v>20.399999999999999</v>
      </c>
      <c r="J221" s="41">
        <f>Source!R63</f>
        <v>1.46</v>
      </c>
      <c r="K221" s="39"/>
    </row>
    <row r="222" spans="1:22" ht="57" x14ac:dyDescent="0.2">
      <c r="A222" s="34" t="str">
        <f>Source!E64</f>
        <v>15,1</v>
      </c>
      <c r="B222" s="35" t="str">
        <f>Source!F64</f>
        <v>1.1-1-2854</v>
      </c>
      <c r="C222" s="35" t="s">
        <v>65</v>
      </c>
      <c r="D222" s="36" t="str">
        <f>Source!H64</f>
        <v>кг</v>
      </c>
      <c r="E222" s="28">
        <f>Source!I64</f>
        <v>4.12</v>
      </c>
      <c r="F222" s="38">
        <f>Source!AK64</f>
        <v>28.98</v>
      </c>
      <c r="G222" s="42" t="s">
        <v>3</v>
      </c>
      <c r="H222" s="28">
        <f>Source!AW64</f>
        <v>1</v>
      </c>
      <c r="I222" s="28">
        <f>IF(Source!BC64&lt;&gt; 0, Source!BC64, 1)</f>
        <v>1.19</v>
      </c>
      <c r="J222" s="39">
        <f>Source!O64</f>
        <v>142.08000000000001</v>
      </c>
      <c r="K222" s="39"/>
      <c r="Q222">
        <f>ROUND((Source!DN64/100)*ROUND((Source!AF64*Source!AV64)*Source!I64, 2), 2)</f>
        <v>0</v>
      </c>
      <c r="R222">
        <f>Source!X64</f>
        <v>0</v>
      </c>
      <c r="S222">
        <f>ROUND((Source!DO64/100)*ROUND((Source!AF64*Source!AV64)*Source!I64, 2), 2)</f>
        <v>0</v>
      </c>
      <c r="T222">
        <f>Source!Y64</f>
        <v>0</v>
      </c>
      <c r="U222">
        <f>ROUND((175/100)*ROUND((Source!AE64*Source!AV64)*Source!I64, 2), 2)</f>
        <v>0</v>
      </c>
      <c r="V222">
        <f>ROUND((157/100)*ROUND(Source!CS64*Source!I64, 2), 2)</f>
        <v>0</v>
      </c>
    </row>
    <row r="223" spans="1:22" ht="14.25" x14ac:dyDescent="0.2">
      <c r="A223" s="34"/>
      <c r="B223" s="35"/>
      <c r="C223" s="35" t="s">
        <v>679</v>
      </c>
      <c r="D223" s="36" t="s">
        <v>680</v>
      </c>
      <c r="E223" s="28">
        <f>Source!BZ63</f>
        <v>81</v>
      </c>
      <c r="F223" s="38"/>
      <c r="G223" s="37"/>
      <c r="H223" s="28"/>
      <c r="I223" s="28"/>
      <c r="J223" s="39">
        <f>SUM(R217:R222)</f>
        <v>404.98</v>
      </c>
      <c r="K223" s="39"/>
    </row>
    <row r="224" spans="1:22" ht="14.25" x14ac:dyDescent="0.2">
      <c r="A224" s="34"/>
      <c r="B224" s="35"/>
      <c r="C224" s="35" t="s">
        <v>681</v>
      </c>
      <c r="D224" s="36" t="s">
        <v>680</v>
      </c>
      <c r="E224" s="28">
        <f>Source!CA63</f>
        <v>41</v>
      </c>
      <c r="F224" s="38"/>
      <c r="G224" s="37"/>
      <c r="H224" s="28"/>
      <c r="I224" s="28"/>
      <c r="J224" s="39">
        <f>SUM(T217:T223)</f>
        <v>204.99</v>
      </c>
      <c r="K224" s="39"/>
    </row>
    <row r="225" spans="1:22" ht="14.25" x14ac:dyDescent="0.2">
      <c r="A225" s="34"/>
      <c r="B225" s="35"/>
      <c r="C225" s="35" t="s">
        <v>682</v>
      </c>
      <c r="D225" s="36" t="s">
        <v>680</v>
      </c>
      <c r="E225" s="28">
        <f>157</f>
        <v>157</v>
      </c>
      <c r="F225" s="38"/>
      <c r="G225" s="37"/>
      <c r="H225" s="28"/>
      <c r="I225" s="28"/>
      <c r="J225" s="39">
        <f>SUM(V217:V224)</f>
        <v>2.29</v>
      </c>
      <c r="K225" s="39"/>
    </row>
    <row r="226" spans="1:22" ht="14.25" x14ac:dyDescent="0.2">
      <c r="A226" s="46"/>
      <c r="B226" s="47"/>
      <c r="C226" s="47" t="s">
        <v>683</v>
      </c>
      <c r="D226" s="48" t="s">
        <v>684</v>
      </c>
      <c r="E226" s="49">
        <f>Source!AQ63</f>
        <v>4.6500000000000004</v>
      </c>
      <c r="F226" s="50"/>
      <c r="G226" s="51" t="str">
        <f>Source!DI63</f>
        <v>)*1,15</v>
      </c>
      <c r="H226" s="49">
        <f>Source!AV63</f>
        <v>1.0249999999999999</v>
      </c>
      <c r="I226" s="49"/>
      <c r="J226" s="52"/>
      <c r="K226" s="52">
        <f>Source!U63</f>
        <v>2.192475</v>
      </c>
    </row>
    <row r="227" spans="1:22" ht="15" x14ac:dyDescent="0.25">
      <c r="A227" s="53"/>
      <c r="B227" s="53"/>
      <c r="C227" s="54" t="s">
        <v>685</v>
      </c>
      <c r="D227" s="53"/>
      <c r="E227" s="53"/>
      <c r="F227" s="53"/>
      <c r="G227" s="53"/>
      <c r="H227" s="53"/>
      <c r="I227" s="55">
        <f>J219+J220+J223+J224+J225+SUM(J222:J222)</f>
        <v>1257.5899999999999</v>
      </c>
      <c r="J227" s="55"/>
      <c r="K227" s="56">
        <f>IF(Source!I63&lt;&gt;0, ROUND(I227/Source!I63, 2), 0)</f>
        <v>3143.98</v>
      </c>
      <c r="P227" s="43">
        <f>J219+J220+J223+J224+J225+SUM(J222:J222)</f>
        <v>1257.5899999999999</v>
      </c>
    </row>
    <row r="229" spans="1:22" ht="57" x14ac:dyDescent="0.2">
      <c r="A229" s="34" t="str">
        <f>Source!E65</f>
        <v>16</v>
      </c>
      <c r="B229" s="35" t="str">
        <f>Source!F65</f>
        <v>3.11-36-1</v>
      </c>
      <c r="C229" s="35" t="s">
        <v>200</v>
      </c>
      <c r="D229" s="36" t="str">
        <f>Source!H65</f>
        <v>100 м2 пола</v>
      </c>
      <c r="E229" s="28">
        <f>Source!I65</f>
        <v>0.4</v>
      </c>
      <c r="F229" s="38"/>
      <c r="G229" s="37"/>
      <c r="H229" s="28"/>
      <c r="I229" s="28"/>
      <c r="J229" s="39"/>
      <c r="K229" s="39"/>
      <c r="Q229">
        <f>ROUND((Source!DN65/100)*ROUND((Source!AF65*Source!AV65)*Source!I65, 2), 2)</f>
        <v>494.36</v>
      </c>
      <c r="R229">
        <f>Source!X65</f>
        <v>8242.56</v>
      </c>
      <c r="S229">
        <f>ROUND((Source!DO65/100)*ROUND((Source!AF65*Source!AV65)*Source!I65, 2), 2)</f>
        <v>332.75</v>
      </c>
      <c r="T229">
        <f>Source!Y65</f>
        <v>3975.82</v>
      </c>
      <c r="U229">
        <f>ROUND((175/100)*ROUND((Source!AE65*Source!AV65)*Source!I65, 2), 2)</f>
        <v>11.46</v>
      </c>
      <c r="V229">
        <f>ROUND((157/100)*ROUND(Source!CS65*Source!I65, 2), 2)</f>
        <v>209.75</v>
      </c>
    </row>
    <row r="230" spans="1:22" x14ac:dyDescent="0.2">
      <c r="C230" s="40" t="str">
        <f>"Объем: "&amp;Source!I65&amp;"=40/"&amp;"100"</f>
        <v>Объем: 0,4=40/100</v>
      </c>
    </row>
    <row r="231" spans="1:22" ht="14.25" x14ac:dyDescent="0.2">
      <c r="A231" s="34"/>
      <c r="B231" s="35"/>
      <c r="C231" s="35" t="s">
        <v>675</v>
      </c>
      <c r="D231" s="36"/>
      <c r="E231" s="28"/>
      <c r="F231" s="38">
        <f>Source!AO65</f>
        <v>986.98</v>
      </c>
      <c r="G231" s="37" t="str">
        <f>Source!DG65</f>
        <v>)*1,15</v>
      </c>
      <c r="H231" s="28">
        <f>Source!AV65</f>
        <v>1.0469999999999999</v>
      </c>
      <c r="I231" s="28">
        <f>IF(Source!BA65&lt;&gt; 0, Source!BA65, 1)</f>
        <v>20.399999999999999</v>
      </c>
      <c r="J231" s="39">
        <f>Source!S65</f>
        <v>9697.1299999999992</v>
      </c>
      <c r="K231" s="39"/>
    </row>
    <row r="232" spans="1:22" ht="14.25" x14ac:dyDescent="0.2">
      <c r="A232" s="34"/>
      <c r="B232" s="35"/>
      <c r="C232" s="35" t="s">
        <v>676</v>
      </c>
      <c r="D232" s="36"/>
      <c r="E232" s="28"/>
      <c r="F232" s="38">
        <f>Source!AM65</f>
        <v>99.77</v>
      </c>
      <c r="G232" s="37" t="str">
        <f>Source!DE65</f>
        <v>)*1,25</v>
      </c>
      <c r="H232" s="28">
        <f>Source!AV65</f>
        <v>1.0469999999999999</v>
      </c>
      <c r="I232" s="28">
        <f>IF(Source!BB65&lt;&gt; 0, Source!BB65, 1)</f>
        <v>10.41</v>
      </c>
      <c r="J232" s="39">
        <f>Source!Q65</f>
        <v>543.71</v>
      </c>
      <c r="K232" s="39"/>
    </row>
    <row r="233" spans="1:22" ht="14.25" x14ac:dyDescent="0.2">
      <c r="A233" s="34"/>
      <c r="B233" s="35"/>
      <c r="C233" s="35" t="s">
        <v>677</v>
      </c>
      <c r="D233" s="36"/>
      <c r="E233" s="28"/>
      <c r="F233" s="38">
        <f>Source!AN65</f>
        <v>12.51</v>
      </c>
      <c r="G233" s="37" t="str">
        <f>Source!DF65</f>
        <v>)*1,25</v>
      </c>
      <c r="H233" s="28">
        <f>Source!AV65</f>
        <v>1.0469999999999999</v>
      </c>
      <c r="I233" s="28">
        <f>IF(Source!BS65&lt;&gt; 0, Source!BS65, 1)</f>
        <v>20.399999999999999</v>
      </c>
      <c r="J233" s="41">
        <f>Source!R65</f>
        <v>133.6</v>
      </c>
      <c r="K233" s="39"/>
    </row>
    <row r="234" spans="1:22" ht="14.25" x14ac:dyDescent="0.2">
      <c r="A234" s="34"/>
      <c r="B234" s="35"/>
      <c r="C234" s="35" t="s">
        <v>678</v>
      </c>
      <c r="D234" s="36"/>
      <c r="E234" s="28"/>
      <c r="F234" s="38">
        <f>Source!AL65</f>
        <v>699.78</v>
      </c>
      <c r="G234" s="37" t="str">
        <f>Source!DD65</f>
        <v/>
      </c>
      <c r="H234" s="28">
        <f>Source!AW65</f>
        <v>1</v>
      </c>
      <c r="I234" s="28">
        <f>IF(Source!BC65&lt;&gt; 0, Source!BC65, 1)</f>
        <v>1.5</v>
      </c>
      <c r="J234" s="39">
        <f>Source!P65</f>
        <v>419.87</v>
      </c>
      <c r="K234" s="39"/>
    </row>
    <row r="235" spans="1:22" ht="57" x14ac:dyDescent="0.2">
      <c r="A235" s="34" t="str">
        <f>Source!E67</f>
        <v>16,2</v>
      </c>
      <c r="B235" s="35" t="str">
        <f>Source!F67</f>
        <v>1.3-2-35</v>
      </c>
      <c r="C235" s="35" t="s">
        <v>211</v>
      </c>
      <c r="D235" s="36" t="str">
        <f>Source!H67</f>
        <v>т</v>
      </c>
      <c r="E235" s="28">
        <f>Source!I67</f>
        <v>0.188</v>
      </c>
      <c r="F235" s="38">
        <f>Source!AK67</f>
        <v>1677.56</v>
      </c>
      <c r="G235" s="42" t="s">
        <v>3</v>
      </c>
      <c r="H235" s="28">
        <f>Source!AW67</f>
        <v>1</v>
      </c>
      <c r="I235" s="28">
        <f>IF(Source!BC67&lt;&gt; 0, Source!BC67, 1)</f>
        <v>4.83</v>
      </c>
      <c r="J235" s="39">
        <f>Source!O67</f>
        <v>1523.29</v>
      </c>
      <c r="K235" s="39"/>
      <c r="Q235">
        <f>ROUND((Source!DN67/100)*ROUND((Source!AF67*Source!AV67)*Source!I67, 2), 2)</f>
        <v>0</v>
      </c>
      <c r="R235">
        <f>Source!X67</f>
        <v>0</v>
      </c>
      <c r="S235">
        <f>ROUND((Source!DO67/100)*ROUND((Source!AF67*Source!AV67)*Source!I67, 2), 2)</f>
        <v>0</v>
      </c>
      <c r="T235">
        <f>Source!Y67</f>
        <v>0</v>
      </c>
      <c r="U235">
        <f>ROUND((175/100)*ROUND((Source!AE67*Source!AV67)*Source!I67, 2), 2)</f>
        <v>0</v>
      </c>
      <c r="V235">
        <f>ROUND((157/100)*ROUND(Source!CS67*Source!I67, 2), 2)</f>
        <v>0</v>
      </c>
    </row>
    <row r="236" spans="1:22" ht="57" x14ac:dyDescent="0.2">
      <c r="A236" s="34" t="str">
        <f>Source!E68</f>
        <v>16,3</v>
      </c>
      <c r="B236" s="35" t="str">
        <f>Source!F68</f>
        <v>1.1-1-3228</v>
      </c>
      <c r="C236" s="35" t="s">
        <v>215</v>
      </c>
      <c r="D236" s="36" t="str">
        <f>Source!H68</f>
        <v>м2</v>
      </c>
      <c r="E236" s="28">
        <f>Source!I68</f>
        <v>40.799999999999997</v>
      </c>
      <c r="F236" s="38">
        <f>Source!AK68</f>
        <v>198.81</v>
      </c>
      <c r="G236" s="42" t="s">
        <v>3</v>
      </c>
      <c r="H236" s="28">
        <f>Source!AW68</f>
        <v>1</v>
      </c>
      <c r="I236" s="28">
        <f>IF(Source!BC68&lt;&gt; 0, Source!BC68, 1)</f>
        <v>3.13</v>
      </c>
      <c r="J236" s="39">
        <f>Source!O68</f>
        <v>25388.83</v>
      </c>
      <c r="K236" s="39"/>
      <c r="Q236">
        <f>ROUND((Source!DN68/100)*ROUND((Source!AF68*Source!AV68)*Source!I68, 2), 2)</f>
        <v>0</v>
      </c>
      <c r="R236">
        <f>Source!X68</f>
        <v>0</v>
      </c>
      <c r="S236">
        <f>ROUND((Source!DO68/100)*ROUND((Source!AF68*Source!AV68)*Source!I68, 2), 2)</f>
        <v>0</v>
      </c>
      <c r="T236">
        <f>Source!Y68</f>
        <v>0</v>
      </c>
      <c r="U236">
        <f>ROUND((175/100)*ROUND((Source!AE68*Source!AV68)*Source!I68, 2), 2)</f>
        <v>0</v>
      </c>
      <c r="V236">
        <f>ROUND((157/100)*ROUND(Source!CS68*Source!I68, 2), 2)</f>
        <v>0</v>
      </c>
    </row>
    <row r="237" spans="1:22" ht="14.25" x14ac:dyDescent="0.2">
      <c r="A237" s="34"/>
      <c r="B237" s="35"/>
      <c r="C237" s="35" t="s">
        <v>679</v>
      </c>
      <c r="D237" s="36" t="s">
        <v>680</v>
      </c>
      <c r="E237" s="28">
        <f>Source!BZ65</f>
        <v>85</v>
      </c>
      <c r="F237" s="38"/>
      <c r="G237" s="37"/>
      <c r="H237" s="28"/>
      <c r="I237" s="28"/>
      <c r="J237" s="39">
        <f>SUM(R229:R236)</f>
        <v>8242.56</v>
      </c>
      <c r="K237" s="39"/>
    </row>
    <row r="238" spans="1:22" ht="14.25" x14ac:dyDescent="0.2">
      <c r="A238" s="34"/>
      <c r="B238" s="35"/>
      <c r="C238" s="35" t="s">
        <v>681</v>
      </c>
      <c r="D238" s="36" t="s">
        <v>680</v>
      </c>
      <c r="E238" s="28">
        <f>Source!CA65</f>
        <v>41</v>
      </c>
      <c r="F238" s="38"/>
      <c r="G238" s="37"/>
      <c r="H238" s="28"/>
      <c r="I238" s="28"/>
      <c r="J238" s="39">
        <f>SUM(T229:T237)</f>
        <v>3975.82</v>
      </c>
      <c r="K238" s="39"/>
    </row>
    <row r="239" spans="1:22" ht="14.25" x14ac:dyDescent="0.2">
      <c r="A239" s="34"/>
      <c r="B239" s="35"/>
      <c r="C239" s="35" t="s">
        <v>682</v>
      </c>
      <c r="D239" s="36" t="s">
        <v>680</v>
      </c>
      <c r="E239" s="28">
        <f>157</f>
        <v>157</v>
      </c>
      <c r="F239" s="38"/>
      <c r="G239" s="37"/>
      <c r="H239" s="28"/>
      <c r="I239" s="28"/>
      <c r="J239" s="39">
        <f>SUM(V229:V238)</f>
        <v>209.75</v>
      </c>
      <c r="K239" s="39"/>
    </row>
    <row r="240" spans="1:22" ht="14.25" x14ac:dyDescent="0.2">
      <c r="A240" s="46"/>
      <c r="B240" s="47"/>
      <c r="C240" s="47" t="s">
        <v>683</v>
      </c>
      <c r="D240" s="48" t="s">
        <v>684</v>
      </c>
      <c r="E240" s="49">
        <f>Source!AQ65</f>
        <v>84.08</v>
      </c>
      <c r="F240" s="50"/>
      <c r="G240" s="51" t="str">
        <f>Source!DI65</f>
        <v>)*1,15</v>
      </c>
      <c r="H240" s="49">
        <f>Source!AV65</f>
        <v>1.0469999999999999</v>
      </c>
      <c r="I240" s="49"/>
      <c r="J240" s="52"/>
      <c r="K240" s="52">
        <f>Source!U65</f>
        <v>40.494609599999997</v>
      </c>
    </row>
    <row r="241" spans="1:22" ht="15" x14ac:dyDescent="0.25">
      <c r="A241" s="53"/>
      <c r="B241" s="53"/>
      <c r="C241" s="54" t="s">
        <v>685</v>
      </c>
      <c r="D241" s="53"/>
      <c r="E241" s="53"/>
      <c r="F241" s="53"/>
      <c r="G241" s="53"/>
      <c r="H241" s="53"/>
      <c r="I241" s="55">
        <f>J231+J232+J234+J237+J238+J239+SUM(J235:J236)</f>
        <v>50000.960000000006</v>
      </c>
      <c r="J241" s="55"/>
      <c r="K241" s="56">
        <f>IF(Source!I65&lt;&gt;0, ROUND(I241/Source!I65, 2), 0)</f>
        <v>125002.4</v>
      </c>
      <c r="P241" s="43">
        <f>J231+J232+J234+J237+J238+J239+SUM(J235:J236)</f>
        <v>50000.960000000006</v>
      </c>
    </row>
    <row r="243" spans="1:22" ht="42.75" x14ac:dyDescent="0.2">
      <c r="A243" s="34" t="str">
        <f>Source!E69</f>
        <v>17</v>
      </c>
      <c r="B243" s="35" t="str">
        <f>Source!F69</f>
        <v>3.15-165-1</v>
      </c>
      <c r="C243" s="35" t="s">
        <v>59</v>
      </c>
      <c r="D243" s="36" t="str">
        <f>Source!H69</f>
        <v>100 м2</v>
      </c>
      <c r="E243" s="28">
        <f>Source!I69</f>
        <v>2.06</v>
      </c>
      <c r="F243" s="38"/>
      <c r="G243" s="37"/>
      <c r="H243" s="28"/>
      <c r="I243" s="28"/>
      <c r="J243" s="39"/>
      <c r="K243" s="39"/>
      <c r="Q243">
        <f>ROUND((Source!DN69/100)*ROUND((Source!AF69*Source!AV69)*Source!I69, 2), 2)</f>
        <v>126.22</v>
      </c>
      <c r="R243">
        <f>Source!X69</f>
        <v>2085.64</v>
      </c>
      <c r="S243">
        <f>ROUND((Source!DO69/100)*ROUND((Source!AF69*Source!AV69)*Source!I69, 2), 2)</f>
        <v>80.78</v>
      </c>
      <c r="T243">
        <f>Source!Y69</f>
        <v>1055.7</v>
      </c>
      <c r="U243">
        <f>ROUND((175/100)*ROUND((Source!AE69*Source!AV69)*Source!I69, 2), 2)</f>
        <v>0.65</v>
      </c>
      <c r="V243">
        <f>ROUND((157/100)*ROUND(Source!CS69*Source!I69, 2), 2)</f>
        <v>11.84</v>
      </c>
    </row>
    <row r="244" spans="1:22" x14ac:dyDescent="0.2">
      <c r="C244" s="40" t="str">
        <f>"Объем: "&amp;Source!I69&amp;"=206/"&amp;"100"</f>
        <v>Объем: 2,06=206/100</v>
      </c>
    </row>
    <row r="245" spans="1:22" ht="14.25" x14ac:dyDescent="0.2">
      <c r="A245" s="34"/>
      <c r="B245" s="35"/>
      <c r="C245" s="35" t="s">
        <v>675</v>
      </c>
      <c r="D245" s="36"/>
      <c r="E245" s="28"/>
      <c r="F245" s="38">
        <f>Source!AO69</f>
        <v>51.98</v>
      </c>
      <c r="G245" s="37" t="str">
        <f>Source!DG69</f>
        <v>)*1,15</v>
      </c>
      <c r="H245" s="28">
        <f>Source!AV69</f>
        <v>1.0249999999999999</v>
      </c>
      <c r="I245" s="28">
        <f>IF(Source!BA69&lt;&gt; 0, Source!BA69, 1)</f>
        <v>20.399999999999999</v>
      </c>
      <c r="J245" s="39">
        <f>Source!S69</f>
        <v>2574.87</v>
      </c>
      <c r="K245" s="39"/>
    </row>
    <row r="246" spans="1:22" ht="14.25" x14ac:dyDescent="0.2">
      <c r="A246" s="34"/>
      <c r="B246" s="35"/>
      <c r="C246" s="35" t="s">
        <v>676</v>
      </c>
      <c r="D246" s="36"/>
      <c r="E246" s="28"/>
      <c r="F246" s="38">
        <f>Source!AM69</f>
        <v>0.82</v>
      </c>
      <c r="G246" s="37" t="str">
        <f>Source!DE69</f>
        <v>)*1,25</v>
      </c>
      <c r="H246" s="28">
        <f>Source!AV69</f>
        <v>1.0249999999999999</v>
      </c>
      <c r="I246" s="28">
        <f>IF(Source!BB69&lt;&gt; 0, Source!BB69, 1)</f>
        <v>7.8</v>
      </c>
      <c r="J246" s="39">
        <f>Source!Q69</f>
        <v>16.88</v>
      </c>
      <c r="K246" s="39"/>
    </row>
    <row r="247" spans="1:22" ht="14.25" x14ac:dyDescent="0.2">
      <c r="A247" s="34"/>
      <c r="B247" s="35"/>
      <c r="C247" s="35" t="s">
        <v>677</v>
      </c>
      <c r="D247" s="36"/>
      <c r="E247" s="28"/>
      <c r="F247" s="38">
        <f>Source!AN69</f>
        <v>0.14000000000000001</v>
      </c>
      <c r="G247" s="37" t="str">
        <f>Source!DF69</f>
        <v>)*1,25</v>
      </c>
      <c r="H247" s="28">
        <f>Source!AV69</f>
        <v>1.0249999999999999</v>
      </c>
      <c r="I247" s="28">
        <f>IF(Source!BS69&lt;&gt; 0, Source!BS69, 1)</f>
        <v>20.399999999999999</v>
      </c>
      <c r="J247" s="41">
        <f>Source!R69</f>
        <v>7.54</v>
      </c>
      <c r="K247" s="39"/>
    </row>
    <row r="248" spans="1:22" ht="57" x14ac:dyDescent="0.2">
      <c r="A248" s="34" t="str">
        <f>Source!E70</f>
        <v>17,1</v>
      </c>
      <c r="B248" s="35" t="str">
        <f>Source!F70</f>
        <v>1.1-1-2854</v>
      </c>
      <c r="C248" s="35" t="s">
        <v>65</v>
      </c>
      <c r="D248" s="36" t="str">
        <f>Source!H70</f>
        <v>кг</v>
      </c>
      <c r="E248" s="28">
        <f>Source!I70</f>
        <v>21.218</v>
      </c>
      <c r="F248" s="38">
        <f>Source!AK70</f>
        <v>28.98</v>
      </c>
      <c r="G248" s="42" t="s">
        <v>3</v>
      </c>
      <c r="H248" s="28">
        <f>Source!AW70</f>
        <v>1</v>
      </c>
      <c r="I248" s="28">
        <f>IF(Source!BC70&lt;&gt; 0, Source!BC70, 1)</f>
        <v>1.19</v>
      </c>
      <c r="J248" s="39">
        <f>Source!O70</f>
        <v>731.73</v>
      </c>
      <c r="K248" s="39"/>
      <c r="Q248">
        <f>ROUND((Source!DN70/100)*ROUND((Source!AF70*Source!AV70)*Source!I70, 2), 2)</f>
        <v>0</v>
      </c>
      <c r="R248">
        <f>Source!X70</f>
        <v>0</v>
      </c>
      <c r="S248">
        <f>ROUND((Source!DO70/100)*ROUND((Source!AF70*Source!AV70)*Source!I70, 2), 2)</f>
        <v>0</v>
      </c>
      <c r="T248">
        <f>Source!Y70</f>
        <v>0</v>
      </c>
      <c r="U248">
        <f>ROUND((175/100)*ROUND((Source!AE70*Source!AV70)*Source!I70, 2), 2)</f>
        <v>0</v>
      </c>
      <c r="V248">
        <f>ROUND((157/100)*ROUND(Source!CS70*Source!I70, 2), 2)</f>
        <v>0</v>
      </c>
    </row>
    <row r="249" spans="1:22" ht="14.25" x14ac:dyDescent="0.2">
      <c r="A249" s="34"/>
      <c r="B249" s="35"/>
      <c r="C249" s="35" t="s">
        <v>679</v>
      </c>
      <c r="D249" s="36" t="s">
        <v>680</v>
      </c>
      <c r="E249" s="28">
        <f>Source!BZ69</f>
        <v>81</v>
      </c>
      <c r="F249" s="38"/>
      <c r="G249" s="37"/>
      <c r="H249" s="28"/>
      <c r="I249" s="28"/>
      <c r="J249" s="39">
        <f>SUM(R243:R248)</f>
        <v>2085.64</v>
      </c>
      <c r="K249" s="39"/>
    </row>
    <row r="250" spans="1:22" ht="14.25" x14ac:dyDescent="0.2">
      <c r="A250" s="34"/>
      <c r="B250" s="35"/>
      <c r="C250" s="35" t="s">
        <v>681</v>
      </c>
      <c r="D250" s="36" t="s">
        <v>680</v>
      </c>
      <c r="E250" s="28">
        <f>Source!CA69</f>
        <v>41</v>
      </c>
      <c r="F250" s="38"/>
      <c r="G250" s="37"/>
      <c r="H250" s="28"/>
      <c r="I250" s="28"/>
      <c r="J250" s="39">
        <f>SUM(T243:T249)</f>
        <v>1055.7</v>
      </c>
      <c r="K250" s="39"/>
    </row>
    <row r="251" spans="1:22" ht="14.25" x14ac:dyDescent="0.2">
      <c r="A251" s="34"/>
      <c r="B251" s="35"/>
      <c r="C251" s="35" t="s">
        <v>682</v>
      </c>
      <c r="D251" s="36" t="s">
        <v>680</v>
      </c>
      <c r="E251" s="28">
        <f>157</f>
        <v>157</v>
      </c>
      <c r="F251" s="38"/>
      <c r="G251" s="37"/>
      <c r="H251" s="28"/>
      <c r="I251" s="28"/>
      <c r="J251" s="39">
        <f>SUM(V243:V250)</f>
        <v>11.84</v>
      </c>
      <c r="K251" s="39"/>
    </row>
    <row r="252" spans="1:22" ht="14.25" x14ac:dyDescent="0.2">
      <c r="A252" s="46"/>
      <c r="B252" s="47"/>
      <c r="C252" s="47" t="s">
        <v>683</v>
      </c>
      <c r="D252" s="48" t="s">
        <v>684</v>
      </c>
      <c r="E252" s="49">
        <f>Source!AQ69</f>
        <v>4.6500000000000004</v>
      </c>
      <c r="F252" s="50"/>
      <c r="G252" s="51" t="str">
        <f>Source!DI69</f>
        <v>)*1,15</v>
      </c>
      <c r="H252" s="49">
        <f>Source!AV69</f>
        <v>1.0249999999999999</v>
      </c>
      <c r="I252" s="49"/>
      <c r="J252" s="52"/>
      <c r="K252" s="52">
        <f>Source!U69</f>
        <v>11.29124625</v>
      </c>
    </row>
    <row r="253" spans="1:22" ht="15" x14ac:dyDescent="0.25">
      <c r="A253" s="53"/>
      <c r="B253" s="53"/>
      <c r="C253" s="54" t="s">
        <v>685</v>
      </c>
      <c r="D253" s="53"/>
      <c r="E253" s="53"/>
      <c r="F253" s="53"/>
      <c r="G253" s="53"/>
      <c r="H253" s="53"/>
      <c r="I253" s="55">
        <f>J245+J246+J249+J250+J251+SUM(J248:J248)</f>
        <v>6476.66</v>
      </c>
      <c r="J253" s="55"/>
      <c r="K253" s="56">
        <f>IF(Source!I69&lt;&gt;0, ROUND(I253/Source!I69, 2), 0)</f>
        <v>3144.01</v>
      </c>
      <c r="P253" s="43">
        <f>J245+J246+J249+J250+J251+SUM(J248:J248)</f>
        <v>6476.66</v>
      </c>
    </row>
    <row r="255" spans="1:22" ht="57" x14ac:dyDescent="0.2">
      <c r="A255" s="34" t="str">
        <f>Source!E71</f>
        <v>18</v>
      </c>
      <c r="B255" s="35" t="str">
        <f>Source!F71</f>
        <v>3.15-149-1</v>
      </c>
      <c r="C255" s="35" t="s">
        <v>221</v>
      </c>
      <c r="D255" s="36" t="str">
        <f>Source!H71</f>
        <v>100 м2</v>
      </c>
      <c r="E255" s="28">
        <f>Source!I71</f>
        <v>2.06</v>
      </c>
      <c r="F255" s="38"/>
      <c r="G255" s="37"/>
      <c r="H255" s="28"/>
      <c r="I255" s="28"/>
      <c r="J255" s="39"/>
      <c r="K255" s="39"/>
      <c r="Q255">
        <f>ROUND((Source!DN71/100)*ROUND((Source!AF71*Source!AV71)*Source!I71, 2), 2)</f>
        <v>3307.7</v>
      </c>
      <c r="R255">
        <f>Source!X71</f>
        <v>54656.5</v>
      </c>
      <c r="S255">
        <f>ROUND((Source!DO71/100)*ROUND((Source!AF71*Source!AV71)*Source!I71, 2), 2)</f>
        <v>2116.9299999999998</v>
      </c>
      <c r="T255">
        <f>Source!Y71</f>
        <v>27665.64</v>
      </c>
      <c r="U255">
        <f>ROUND((175/100)*ROUND((Source!AE71*Source!AV71)*Source!I71, 2), 2)</f>
        <v>17.78</v>
      </c>
      <c r="V255">
        <f>ROUND((157/100)*ROUND(Source!CS71*Source!I71, 2), 2)</f>
        <v>325.45999999999998</v>
      </c>
    </row>
    <row r="256" spans="1:22" x14ac:dyDescent="0.2">
      <c r="C256" s="40" t="str">
        <f>"Объем: "&amp;Source!I71&amp;"=206/"&amp;"100"</f>
        <v>Объем: 2,06=206/100</v>
      </c>
    </row>
    <row r="257" spans="1:22" ht="14.25" x14ac:dyDescent="0.2">
      <c r="A257" s="34"/>
      <c r="B257" s="35"/>
      <c r="C257" s="35" t="s">
        <v>675</v>
      </c>
      <c r="D257" s="36"/>
      <c r="E257" s="28"/>
      <c r="F257" s="38">
        <f>Source!AO71</f>
        <v>1362.19</v>
      </c>
      <c r="G257" s="37" t="str">
        <f>Source!DG71</f>
        <v>)*1,15</v>
      </c>
      <c r="H257" s="28">
        <f>Source!AV71</f>
        <v>1.0249999999999999</v>
      </c>
      <c r="I257" s="28">
        <f>IF(Source!BA71&lt;&gt; 0, Source!BA71, 1)</f>
        <v>20.399999999999999</v>
      </c>
      <c r="J257" s="39">
        <f>Source!S71</f>
        <v>67477.16</v>
      </c>
      <c r="K257" s="39"/>
    </row>
    <row r="258" spans="1:22" ht="14.25" x14ac:dyDescent="0.2">
      <c r="A258" s="34"/>
      <c r="B258" s="35"/>
      <c r="C258" s="35" t="s">
        <v>676</v>
      </c>
      <c r="D258" s="36"/>
      <c r="E258" s="28"/>
      <c r="F258" s="38">
        <f>Source!AM71</f>
        <v>21.72</v>
      </c>
      <c r="G258" s="37" t="str">
        <f>Source!DE71</f>
        <v>)*1,25</v>
      </c>
      <c r="H258" s="28">
        <f>Source!AV71</f>
        <v>1.0249999999999999</v>
      </c>
      <c r="I258" s="28">
        <f>IF(Source!BB71&lt;&gt; 0, Source!BB71, 1)</f>
        <v>8.77</v>
      </c>
      <c r="J258" s="39">
        <f>Source!Q71</f>
        <v>502.76</v>
      </c>
      <c r="K258" s="39"/>
    </row>
    <row r="259" spans="1:22" ht="14.25" x14ac:dyDescent="0.2">
      <c r="A259" s="34"/>
      <c r="B259" s="35"/>
      <c r="C259" s="35" t="s">
        <v>677</v>
      </c>
      <c r="D259" s="36"/>
      <c r="E259" s="28"/>
      <c r="F259" s="38">
        <f>Source!AN71</f>
        <v>3.85</v>
      </c>
      <c r="G259" s="37" t="str">
        <f>Source!DF71</f>
        <v>)*1,25</v>
      </c>
      <c r="H259" s="28">
        <f>Source!AV71</f>
        <v>1.0249999999999999</v>
      </c>
      <c r="I259" s="28">
        <f>IF(Source!BS71&lt;&gt; 0, Source!BS71, 1)</f>
        <v>20.399999999999999</v>
      </c>
      <c r="J259" s="41">
        <f>Source!R71</f>
        <v>207.3</v>
      </c>
      <c r="K259" s="39"/>
    </row>
    <row r="260" spans="1:22" ht="14.25" x14ac:dyDescent="0.2">
      <c r="A260" s="34"/>
      <c r="B260" s="35"/>
      <c r="C260" s="35" t="s">
        <v>678</v>
      </c>
      <c r="D260" s="36"/>
      <c r="E260" s="28"/>
      <c r="F260" s="38">
        <f>Source!AL71</f>
        <v>83.42</v>
      </c>
      <c r="G260" s="37" t="str">
        <f>Source!DD71</f>
        <v/>
      </c>
      <c r="H260" s="28">
        <f>Source!AW71</f>
        <v>1</v>
      </c>
      <c r="I260" s="28">
        <f>IF(Source!BC71&lt;&gt; 0, Source!BC71, 1)</f>
        <v>1.89</v>
      </c>
      <c r="J260" s="39">
        <f>Source!P71</f>
        <v>324.79000000000002</v>
      </c>
      <c r="K260" s="39"/>
    </row>
    <row r="261" spans="1:22" ht="28.5" x14ac:dyDescent="0.2">
      <c r="A261" s="34" t="str">
        <f>Source!E72</f>
        <v>18,1</v>
      </c>
      <c r="B261" s="35" t="str">
        <f>Source!F72</f>
        <v>1.3-2-138</v>
      </c>
      <c r="C261" s="35" t="s">
        <v>207</v>
      </c>
      <c r="D261" s="36" t="str">
        <f>Source!H72</f>
        <v>т</v>
      </c>
      <c r="E261" s="28">
        <f>Source!I72</f>
        <v>0.57679999999999998</v>
      </c>
      <c r="F261" s="38">
        <f>Source!AK72</f>
        <v>27362.67</v>
      </c>
      <c r="G261" s="42" t="s">
        <v>3</v>
      </c>
      <c r="H261" s="28">
        <f>Source!AW72</f>
        <v>1</v>
      </c>
      <c r="I261" s="28">
        <f>IF(Source!BC72&lt;&gt; 0, Source!BC72, 1)</f>
        <v>0.95</v>
      </c>
      <c r="J261" s="39">
        <f>Source!O72</f>
        <v>14993.65</v>
      </c>
      <c r="K261" s="39"/>
      <c r="Q261">
        <f>ROUND((Source!DN72/100)*ROUND((Source!AF72*Source!AV72)*Source!I72, 2), 2)</f>
        <v>0</v>
      </c>
      <c r="R261">
        <f>Source!X72</f>
        <v>0</v>
      </c>
      <c r="S261">
        <f>ROUND((Source!DO72/100)*ROUND((Source!AF72*Source!AV72)*Source!I72, 2), 2)</f>
        <v>0</v>
      </c>
      <c r="T261">
        <f>Source!Y72</f>
        <v>0</v>
      </c>
      <c r="U261">
        <f>ROUND((175/100)*ROUND((Source!AE72*Source!AV72)*Source!I72, 2), 2)</f>
        <v>0</v>
      </c>
      <c r="V261">
        <f>ROUND((157/100)*ROUND(Source!CS72*Source!I72, 2), 2)</f>
        <v>0</v>
      </c>
    </row>
    <row r="262" spans="1:22" ht="71.25" x14ac:dyDescent="0.2">
      <c r="A262" s="34" t="str">
        <f>Source!E73</f>
        <v>18,2</v>
      </c>
      <c r="B262" s="35" t="str">
        <f>Source!F73</f>
        <v>1.3-2-36</v>
      </c>
      <c r="C262" s="35" t="s">
        <v>228</v>
      </c>
      <c r="D262" s="36" t="str">
        <f>Source!H73</f>
        <v>т</v>
      </c>
      <c r="E262" s="28">
        <f>Source!I73</f>
        <v>0.77249999999999996</v>
      </c>
      <c r="F262" s="38">
        <f>Source!AK73</f>
        <v>3374.81</v>
      </c>
      <c r="G262" s="42" t="s">
        <v>3</v>
      </c>
      <c r="H262" s="28">
        <f>Source!AW73</f>
        <v>1</v>
      </c>
      <c r="I262" s="28">
        <f>IF(Source!BC73&lt;&gt; 0, Source!BC73, 1)</f>
        <v>4.4000000000000004</v>
      </c>
      <c r="J262" s="39">
        <f>Source!O73</f>
        <v>11470.98</v>
      </c>
      <c r="K262" s="39"/>
      <c r="Q262">
        <f>ROUND((Source!DN73/100)*ROUND((Source!AF73*Source!AV73)*Source!I73, 2), 2)</f>
        <v>0</v>
      </c>
      <c r="R262">
        <f>Source!X73</f>
        <v>0</v>
      </c>
      <c r="S262">
        <f>ROUND((Source!DO73/100)*ROUND((Source!AF73*Source!AV73)*Source!I73, 2), 2)</f>
        <v>0</v>
      </c>
      <c r="T262">
        <f>Source!Y73</f>
        <v>0</v>
      </c>
      <c r="U262">
        <f>ROUND((175/100)*ROUND((Source!AE73*Source!AV73)*Source!I73, 2), 2)</f>
        <v>0</v>
      </c>
      <c r="V262">
        <f>ROUND((157/100)*ROUND(Source!CS73*Source!I73, 2), 2)</f>
        <v>0</v>
      </c>
    </row>
    <row r="263" spans="1:22" ht="57" x14ac:dyDescent="0.2">
      <c r="A263" s="34" t="str">
        <f>Source!E74</f>
        <v>18,3</v>
      </c>
      <c r="B263" s="35" t="str">
        <f>Source!F74</f>
        <v>1.1-1-836</v>
      </c>
      <c r="C263" s="35" t="s">
        <v>232</v>
      </c>
      <c r="D263" s="36" t="str">
        <f>Source!H74</f>
        <v>м2</v>
      </c>
      <c r="E263" s="28">
        <f>Source!I74</f>
        <v>206</v>
      </c>
      <c r="F263" s="38">
        <f>Source!AK74</f>
        <v>52.32</v>
      </c>
      <c r="G263" s="42" t="s">
        <v>3</v>
      </c>
      <c r="H263" s="28">
        <f>Source!AW74</f>
        <v>1</v>
      </c>
      <c r="I263" s="28">
        <f>IF(Source!BC74&lt;&gt; 0, Source!BC74, 1)</f>
        <v>4.3600000000000003</v>
      </c>
      <c r="J263" s="39">
        <f>Source!O74</f>
        <v>46991.73</v>
      </c>
      <c r="K263" s="39"/>
      <c r="Q263">
        <f>ROUND((Source!DN74/100)*ROUND((Source!AF74*Source!AV74)*Source!I74, 2), 2)</f>
        <v>0</v>
      </c>
      <c r="R263">
        <f>Source!X74</f>
        <v>0</v>
      </c>
      <c r="S263">
        <f>ROUND((Source!DO74/100)*ROUND((Source!AF74*Source!AV74)*Source!I74, 2), 2)</f>
        <v>0</v>
      </c>
      <c r="T263">
        <f>Source!Y74</f>
        <v>0</v>
      </c>
      <c r="U263">
        <f>ROUND((175/100)*ROUND((Source!AE74*Source!AV74)*Source!I74, 2), 2)</f>
        <v>0</v>
      </c>
      <c r="V263">
        <f>ROUND((157/100)*ROUND(Source!CS74*Source!I74, 2), 2)</f>
        <v>0</v>
      </c>
    </row>
    <row r="264" spans="1:22" ht="14.25" x14ac:dyDescent="0.2">
      <c r="A264" s="34"/>
      <c r="B264" s="35"/>
      <c r="C264" s="35" t="s">
        <v>679</v>
      </c>
      <c r="D264" s="36" t="s">
        <v>680</v>
      </c>
      <c r="E264" s="28">
        <f>Source!BZ71</f>
        <v>81</v>
      </c>
      <c r="F264" s="38"/>
      <c r="G264" s="37"/>
      <c r="H264" s="28"/>
      <c r="I264" s="28"/>
      <c r="J264" s="39">
        <f>SUM(R255:R263)</f>
        <v>54656.5</v>
      </c>
      <c r="K264" s="39"/>
    </row>
    <row r="265" spans="1:22" ht="14.25" x14ac:dyDescent="0.2">
      <c r="A265" s="34"/>
      <c r="B265" s="35"/>
      <c r="C265" s="35" t="s">
        <v>681</v>
      </c>
      <c r="D265" s="36" t="s">
        <v>680</v>
      </c>
      <c r="E265" s="28">
        <f>Source!CA71</f>
        <v>41</v>
      </c>
      <c r="F265" s="38"/>
      <c r="G265" s="37"/>
      <c r="H265" s="28"/>
      <c r="I265" s="28"/>
      <c r="J265" s="39">
        <f>SUM(T255:T264)</f>
        <v>27665.64</v>
      </c>
      <c r="K265" s="39"/>
    </row>
    <row r="266" spans="1:22" ht="14.25" x14ac:dyDescent="0.2">
      <c r="A266" s="34"/>
      <c r="B266" s="35"/>
      <c r="C266" s="35" t="s">
        <v>682</v>
      </c>
      <c r="D266" s="36" t="s">
        <v>680</v>
      </c>
      <c r="E266" s="28">
        <f>157</f>
        <v>157</v>
      </c>
      <c r="F266" s="38"/>
      <c r="G266" s="37"/>
      <c r="H266" s="28"/>
      <c r="I266" s="28"/>
      <c r="J266" s="39">
        <f>SUM(V255:V265)</f>
        <v>325.45999999999998</v>
      </c>
      <c r="K266" s="39"/>
    </row>
    <row r="267" spans="1:22" ht="14.25" x14ac:dyDescent="0.2">
      <c r="A267" s="46"/>
      <c r="B267" s="47"/>
      <c r="C267" s="47" t="s">
        <v>683</v>
      </c>
      <c r="D267" s="48" t="s">
        <v>684</v>
      </c>
      <c r="E267" s="49">
        <f>Source!AQ71</f>
        <v>115.26</v>
      </c>
      <c r="F267" s="50"/>
      <c r="G267" s="51" t="str">
        <f>Source!DI71</f>
        <v>)*1,15</v>
      </c>
      <c r="H267" s="49">
        <f>Source!AV71</f>
        <v>1.0249999999999999</v>
      </c>
      <c r="I267" s="49"/>
      <c r="J267" s="52"/>
      <c r="K267" s="52">
        <f>Source!U71</f>
        <v>279.87721349999998</v>
      </c>
    </row>
    <row r="268" spans="1:22" ht="15" x14ac:dyDescent="0.25">
      <c r="A268" s="53"/>
      <c r="B268" s="53"/>
      <c r="C268" s="54" t="s">
        <v>685</v>
      </c>
      <c r="D268" s="53"/>
      <c r="E268" s="53"/>
      <c r="F268" s="53"/>
      <c r="G268" s="53"/>
      <c r="H268" s="53"/>
      <c r="I268" s="55">
        <f>J257+J258+J260+J264+J265+J266+SUM(J261:J263)</f>
        <v>224408.66999999998</v>
      </c>
      <c r="J268" s="55"/>
      <c r="K268" s="56">
        <f>IF(Source!I71&lt;&gt;0, ROUND(I268/Source!I71, 2), 0)</f>
        <v>108936.25</v>
      </c>
      <c r="P268" s="43">
        <f>J257+J258+J260+J264+J265+J266+SUM(J261:J263)</f>
        <v>224408.66999999998</v>
      </c>
    </row>
    <row r="270" spans="1:22" ht="85.5" x14ac:dyDescent="0.2">
      <c r="A270" s="34" t="str">
        <f>Source!E75</f>
        <v>19</v>
      </c>
      <c r="B270" s="35" t="str">
        <f>Source!F75</f>
        <v>3.10-92-1</v>
      </c>
      <c r="C270" s="35" t="s">
        <v>236</v>
      </c>
      <c r="D270" s="36" t="str">
        <f>Source!H75</f>
        <v>100 м2 перегородки</v>
      </c>
      <c r="E270" s="28">
        <f>Source!I75</f>
        <v>0.25</v>
      </c>
      <c r="F270" s="38"/>
      <c r="G270" s="37"/>
      <c r="H270" s="28"/>
      <c r="I270" s="28"/>
      <c r="J270" s="39"/>
      <c r="K270" s="39"/>
      <c r="Q270">
        <f>ROUND((Source!DN75/100)*ROUND((Source!AF75*Source!AV75)*Source!I75, 2), 2)</f>
        <v>718.07</v>
      </c>
      <c r="R270">
        <f>Source!X75</f>
        <v>11751.07</v>
      </c>
      <c r="S270">
        <f>ROUND((Source!DO75/100)*ROUND((Source!AF75*Source!AV75)*Source!I75, 2), 2)</f>
        <v>552.36</v>
      </c>
      <c r="T270">
        <f>Source!Y75</f>
        <v>6599.92</v>
      </c>
      <c r="U270">
        <f>ROUND((175/100)*ROUND((Source!AE75*Source!AV75)*Source!I75, 2), 2)</f>
        <v>21.89</v>
      </c>
      <c r="V270">
        <f>ROUND((157/100)*ROUND(Source!CS75*Source!I75, 2), 2)</f>
        <v>400.62</v>
      </c>
    </row>
    <row r="271" spans="1:22" x14ac:dyDescent="0.2">
      <c r="C271" s="40" t="str">
        <f>"Объем: "&amp;Source!I75&amp;"=25/"&amp;"100"</f>
        <v>Объем: 0,25=25/100</v>
      </c>
    </row>
    <row r="272" spans="1:22" ht="14.25" x14ac:dyDescent="0.2">
      <c r="A272" s="34"/>
      <c r="B272" s="35"/>
      <c r="C272" s="35" t="s">
        <v>675</v>
      </c>
      <c r="D272" s="36"/>
      <c r="E272" s="28"/>
      <c r="F272" s="38">
        <f>Source!AO75</f>
        <v>2621.44</v>
      </c>
      <c r="G272" s="37" t="str">
        <f>Source!DG75</f>
        <v>)*1,15</v>
      </c>
      <c r="H272" s="28">
        <f>Source!AV75</f>
        <v>1.0469999999999999</v>
      </c>
      <c r="I272" s="28">
        <f>IF(Source!BA75&lt;&gt; 0, Source!BA75, 1)</f>
        <v>20.399999999999999</v>
      </c>
      <c r="J272" s="39">
        <f>Source!S75</f>
        <v>16097.36</v>
      </c>
      <c r="K272" s="39"/>
    </row>
    <row r="273" spans="1:22" ht="14.25" x14ac:dyDescent="0.2">
      <c r="A273" s="34"/>
      <c r="B273" s="35"/>
      <c r="C273" s="35" t="s">
        <v>676</v>
      </c>
      <c r="D273" s="36"/>
      <c r="E273" s="28"/>
      <c r="F273" s="38">
        <f>Source!AM75</f>
        <v>146.93</v>
      </c>
      <c r="G273" s="37" t="str">
        <f>Source!DE75</f>
        <v>)*1,25</v>
      </c>
      <c r="H273" s="28">
        <f>Source!AV75</f>
        <v>1.0469999999999999</v>
      </c>
      <c r="I273" s="28">
        <f>IF(Source!BB75&lt;&gt; 0, Source!BB75, 1)</f>
        <v>8.69</v>
      </c>
      <c r="J273" s="39">
        <f>Source!Q75</f>
        <v>417.76</v>
      </c>
      <c r="K273" s="39"/>
    </row>
    <row r="274" spans="1:22" ht="14.25" x14ac:dyDescent="0.2">
      <c r="A274" s="34"/>
      <c r="B274" s="35"/>
      <c r="C274" s="35" t="s">
        <v>677</v>
      </c>
      <c r="D274" s="36"/>
      <c r="E274" s="28"/>
      <c r="F274" s="38">
        <f>Source!AN75</f>
        <v>38.229999999999997</v>
      </c>
      <c r="G274" s="37" t="str">
        <f>Source!DF75</f>
        <v>)*1,25</v>
      </c>
      <c r="H274" s="28">
        <f>Source!AV75</f>
        <v>1.0469999999999999</v>
      </c>
      <c r="I274" s="28">
        <f>IF(Source!BS75&lt;&gt; 0, Source!BS75, 1)</f>
        <v>20.399999999999999</v>
      </c>
      <c r="J274" s="41">
        <f>Source!R75</f>
        <v>255.17</v>
      </c>
      <c r="K274" s="39"/>
    </row>
    <row r="275" spans="1:22" ht="14.25" x14ac:dyDescent="0.2">
      <c r="A275" s="34"/>
      <c r="B275" s="35"/>
      <c r="C275" s="35" t="s">
        <v>678</v>
      </c>
      <c r="D275" s="36"/>
      <c r="E275" s="28"/>
      <c r="F275" s="38">
        <f>Source!AL75</f>
        <v>2286.2199999999998</v>
      </c>
      <c r="G275" s="37" t="str">
        <f>Source!DD75</f>
        <v/>
      </c>
      <c r="H275" s="28">
        <f>Source!AW75</f>
        <v>1</v>
      </c>
      <c r="I275" s="28">
        <f>IF(Source!BC75&lt;&gt; 0, Source!BC75, 1)</f>
        <v>3.13</v>
      </c>
      <c r="J275" s="39">
        <f>Source!P75</f>
        <v>1788.97</v>
      </c>
      <c r="K275" s="39"/>
    </row>
    <row r="276" spans="1:22" ht="42.75" x14ac:dyDescent="0.2">
      <c r="A276" s="34" t="str">
        <f>Source!E76</f>
        <v>19,1</v>
      </c>
      <c r="B276" s="35" t="str">
        <f>Source!F76</f>
        <v>2245214000</v>
      </c>
      <c r="C276" s="35" t="s">
        <v>243</v>
      </c>
      <c r="D276" s="36" t="str">
        <f>Source!H76</f>
        <v>м</v>
      </c>
      <c r="E276" s="28">
        <f>Source!I76</f>
        <v>66.75</v>
      </c>
      <c r="F276" s="38">
        <f>Source!AK76</f>
        <v>0</v>
      </c>
      <c r="G276" s="42" t="s">
        <v>3</v>
      </c>
      <c r="H276" s="28">
        <f>Source!AW76</f>
        <v>1</v>
      </c>
      <c r="I276" s="28">
        <f>IF(Source!BC76&lt;&gt; 0, Source!BC76, 1)</f>
        <v>1</v>
      </c>
      <c r="J276" s="39">
        <f>Source!O76</f>
        <v>0</v>
      </c>
      <c r="K276" s="39"/>
      <c r="Q276">
        <f>ROUND((Source!DN76/100)*ROUND((Source!AF76*Source!AV76)*Source!I76, 2), 2)</f>
        <v>0</v>
      </c>
      <c r="R276">
        <f>Source!X76</f>
        <v>0</v>
      </c>
      <c r="S276">
        <f>ROUND((Source!DO76/100)*ROUND((Source!AF76*Source!AV76)*Source!I76, 2), 2)</f>
        <v>0</v>
      </c>
      <c r="T276">
        <f>Source!Y76</f>
        <v>0</v>
      </c>
      <c r="U276">
        <f>ROUND((175/100)*ROUND((Source!AE76*Source!AV76)*Source!I76, 2), 2)</f>
        <v>0</v>
      </c>
      <c r="V276">
        <f>ROUND((157/100)*ROUND(Source!CS76*Source!I76, 2), 2)</f>
        <v>0</v>
      </c>
    </row>
    <row r="277" spans="1:22" ht="57" x14ac:dyDescent="0.2">
      <c r="A277" s="34" t="str">
        <f>Source!E77</f>
        <v>19,2</v>
      </c>
      <c r="B277" s="35" t="str">
        <f>Source!F77</f>
        <v>1.7-4-29</v>
      </c>
      <c r="C277" s="35" t="s">
        <v>246</v>
      </c>
      <c r="D277" s="36" t="str">
        <f>Source!H77</f>
        <v>м</v>
      </c>
      <c r="E277" s="28">
        <f>Source!I77</f>
        <v>101.75</v>
      </c>
      <c r="F277" s="38">
        <f>Source!AK77</f>
        <v>28.06</v>
      </c>
      <c r="G277" s="42" t="s">
        <v>3</v>
      </c>
      <c r="H277" s="28">
        <f>Source!AW77</f>
        <v>1</v>
      </c>
      <c r="I277" s="28">
        <f>IF(Source!BC77&lt;&gt; 0, Source!BC77, 1)</f>
        <v>2.3199999999999998</v>
      </c>
      <c r="J277" s="39">
        <f>Source!O77</f>
        <v>6623.84</v>
      </c>
      <c r="K277" s="39"/>
      <c r="Q277">
        <f>ROUND((Source!DN77/100)*ROUND((Source!AF77*Source!AV77)*Source!I77, 2), 2)</f>
        <v>0</v>
      </c>
      <c r="R277">
        <f>Source!X77</f>
        <v>0</v>
      </c>
      <c r="S277">
        <f>ROUND((Source!DO77/100)*ROUND((Source!AF77*Source!AV77)*Source!I77, 2), 2)</f>
        <v>0</v>
      </c>
      <c r="T277">
        <f>Source!Y77</f>
        <v>0</v>
      </c>
      <c r="U277">
        <f>ROUND((175/100)*ROUND((Source!AE77*Source!AV77)*Source!I77, 2), 2)</f>
        <v>0</v>
      </c>
      <c r="V277">
        <f>ROUND((157/100)*ROUND(Source!CS77*Source!I77, 2), 2)</f>
        <v>0</v>
      </c>
    </row>
    <row r="278" spans="1:22" ht="57" x14ac:dyDescent="0.2">
      <c r="A278" s="34" t="str">
        <f>Source!E78</f>
        <v>19,3</v>
      </c>
      <c r="B278" s="35" t="str">
        <f>Source!F78</f>
        <v>1.7-4-33</v>
      </c>
      <c r="C278" s="35" t="s">
        <v>250</v>
      </c>
      <c r="D278" s="36" t="str">
        <f>Source!H78</f>
        <v>м</v>
      </c>
      <c r="E278" s="28">
        <f>Source!I78</f>
        <v>37.75</v>
      </c>
      <c r="F278" s="38">
        <f>Source!AK78</f>
        <v>25.67</v>
      </c>
      <c r="G278" s="42" t="s">
        <v>3</v>
      </c>
      <c r="H278" s="28">
        <f>Source!AW78</f>
        <v>1</v>
      </c>
      <c r="I278" s="28">
        <f>IF(Source!BC78&lt;&gt; 0, Source!BC78, 1)</f>
        <v>2.93</v>
      </c>
      <c r="J278" s="39">
        <f>Source!O78</f>
        <v>2839.29</v>
      </c>
      <c r="K278" s="39"/>
      <c r="Q278">
        <f>ROUND((Source!DN78/100)*ROUND((Source!AF78*Source!AV78)*Source!I78, 2), 2)</f>
        <v>0</v>
      </c>
      <c r="R278">
        <f>Source!X78</f>
        <v>0</v>
      </c>
      <c r="S278">
        <f>ROUND((Source!DO78/100)*ROUND((Source!AF78*Source!AV78)*Source!I78, 2), 2)</f>
        <v>0</v>
      </c>
      <c r="T278">
        <f>Source!Y78</f>
        <v>0</v>
      </c>
      <c r="U278">
        <f>ROUND((175/100)*ROUND((Source!AE78*Source!AV78)*Source!I78, 2), 2)</f>
        <v>0</v>
      </c>
      <c r="V278">
        <f>ROUND((157/100)*ROUND(Source!CS78*Source!I78, 2), 2)</f>
        <v>0</v>
      </c>
    </row>
    <row r="279" spans="1:22" ht="28.5" x14ac:dyDescent="0.2">
      <c r="A279" s="34" t="str">
        <f>Source!E79</f>
        <v>19,4</v>
      </c>
      <c r="B279" s="35" t="str">
        <f>Source!F79</f>
        <v>1.1-1-567</v>
      </c>
      <c r="C279" s="35" t="s">
        <v>254</v>
      </c>
      <c r="D279" s="36" t="str">
        <f>Source!H79</f>
        <v>м2</v>
      </c>
      <c r="E279" s="28">
        <f>Source!I79</f>
        <v>131.5</v>
      </c>
      <c r="F279" s="38">
        <f>Source!AK79</f>
        <v>34.68</v>
      </c>
      <c r="G279" s="42" t="s">
        <v>3</v>
      </c>
      <c r="H279" s="28">
        <f>Source!AW79</f>
        <v>1</v>
      </c>
      <c r="I279" s="28">
        <f>IF(Source!BC79&lt;&gt; 0, Source!BC79, 1)</f>
        <v>1.48</v>
      </c>
      <c r="J279" s="39">
        <f>Source!O79</f>
        <v>6749.42</v>
      </c>
      <c r="K279" s="39"/>
      <c r="Q279">
        <f>ROUND((Source!DN79/100)*ROUND((Source!AF79*Source!AV79)*Source!I79, 2), 2)</f>
        <v>0</v>
      </c>
      <c r="R279">
        <f>Source!X79</f>
        <v>0</v>
      </c>
      <c r="S279">
        <f>ROUND((Source!DO79/100)*ROUND((Source!AF79*Source!AV79)*Source!I79, 2), 2)</f>
        <v>0</v>
      </c>
      <c r="T279">
        <f>Source!Y79</f>
        <v>0</v>
      </c>
      <c r="U279">
        <f>ROUND((175/100)*ROUND((Source!AE79*Source!AV79)*Source!I79, 2), 2)</f>
        <v>0</v>
      </c>
      <c r="V279">
        <f>ROUND((157/100)*ROUND(Source!CS79*Source!I79, 2), 2)</f>
        <v>0</v>
      </c>
    </row>
    <row r="280" spans="1:22" ht="42.75" x14ac:dyDescent="0.2">
      <c r="A280" s="34" t="str">
        <f>Source!E80</f>
        <v>19,5</v>
      </c>
      <c r="B280" s="35" t="str">
        <f>Source!F80</f>
        <v>1.1-1-890</v>
      </c>
      <c r="C280" s="35" t="s">
        <v>258</v>
      </c>
      <c r="D280" s="36" t="str">
        <f>Source!H80</f>
        <v>м3</v>
      </c>
      <c r="E280" s="28">
        <f>Source!I80</f>
        <v>2.5750000000000002</v>
      </c>
      <c r="F280" s="38">
        <f>Source!AK80</f>
        <v>806.26</v>
      </c>
      <c r="G280" s="42" t="s">
        <v>3</v>
      </c>
      <c r="H280" s="28">
        <f>Source!AW80</f>
        <v>1</v>
      </c>
      <c r="I280" s="28">
        <f>IF(Source!BC80&lt;&gt; 0, Source!BC80, 1)</f>
        <v>4.05</v>
      </c>
      <c r="J280" s="39">
        <f>Source!O80</f>
        <v>8408.2800000000007</v>
      </c>
      <c r="K280" s="39"/>
      <c r="Q280">
        <f>ROUND((Source!DN80/100)*ROUND((Source!AF80*Source!AV80)*Source!I80, 2), 2)</f>
        <v>0</v>
      </c>
      <c r="R280">
        <f>Source!X80</f>
        <v>0</v>
      </c>
      <c r="S280">
        <f>ROUND((Source!DO80/100)*ROUND((Source!AF80*Source!AV80)*Source!I80, 2), 2)</f>
        <v>0</v>
      </c>
      <c r="T280">
        <f>Source!Y80</f>
        <v>0</v>
      </c>
      <c r="U280">
        <f>ROUND((175/100)*ROUND((Source!AE80*Source!AV80)*Source!I80, 2), 2)</f>
        <v>0</v>
      </c>
      <c r="V280">
        <f>ROUND((157/100)*ROUND(Source!CS80*Source!I80, 2), 2)</f>
        <v>0</v>
      </c>
    </row>
    <row r="281" spans="1:22" ht="14.25" x14ac:dyDescent="0.2">
      <c r="A281" s="34"/>
      <c r="B281" s="35"/>
      <c r="C281" s="35" t="s">
        <v>679</v>
      </c>
      <c r="D281" s="36" t="s">
        <v>680</v>
      </c>
      <c r="E281" s="28">
        <f>Source!BZ75</f>
        <v>73</v>
      </c>
      <c r="F281" s="38"/>
      <c r="G281" s="37"/>
      <c r="H281" s="28"/>
      <c r="I281" s="28"/>
      <c r="J281" s="39">
        <f>SUM(R270:R280)</f>
        <v>11751.07</v>
      </c>
      <c r="K281" s="39"/>
    </row>
    <row r="282" spans="1:22" ht="14.25" x14ac:dyDescent="0.2">
      <c r="A282" s="34"/>
      <c r="B282" s="35"/>
      <c r="C282" s="35" t="s">
        <v>681</v>
      </c>
      <c r="D282" s="36" t="s">
        <v>680</v>
      </c>
      <c r="E282" s="28">
        <f>Source!CA75</f>
        <v>41</v>
      </c>
      <c r="F282" s="38"/>
      <c r="G282" s="37"/>
      <c r="H282" s="28"/>
      <c r="I282" s="28"/>
      <c r="J282" s="39">
        <f>SUM(T270:T281)</f>
        <v>6599.92</v>
      </c>
      <c r="K282" s="39"/>
    </row>
    <row r="283" spans="1:22" ht="14.25" x14ac:dyDescent="0.2">
      <c r="A283" s="34"/>
      <c r="B283" s="35"/>
      <c r="C283" s="35" t="s">
        <v>682</v>
      </c>
      <c r="D283" s="36" t="s">
        <v>680</v>
      </c>
      <c r="E283" s="28">
        <f>157</f>
        <v>157</v>
      </c>
      <c r="F283" s="38"/>
      <c r="G283" s="37"/>
      <c r="H283" s="28"/>
      <c r="I283" s="28"/>
      <c r="J283" s="39">
        <f>SUM(V270:V282)</f>
        <v>400.62</v>
      </c>
      <c r="K283" s="39"/>
    </row>
    <row r="284" spans="1:22" ht="14.25" x14ac:dyDescent="0.2">
      <c r="A284" s="46"/>
      <c r="B284" s="47"/>
      <c r="C284" s="47" t="s">
        <v>683</v>
      </c>
      <c r="D284" s="48" t="s">
        <v>684</v>
      </c>
      <c r="E284" s="49">
        <f>Source!AQ75</f>
        <v>221.55</v>
      </c>
      <c r="F284" s="50"/>
      <c r="G284" s="51" t="str">
        <f>Source!DI75</f>
        <v>)*1,15</v>
      </c>
      <c r="H284" s="49">
        <f>Source!AV75</f>
        <v>1.0469999999999999</v>
      </c>
      <c r="I284" s="49"/>
      <c r="J284" s="52"/>
      <c r="K284" s="52">
        <f>Source!U75</f>
        <v>66.689319374999997</v>
      </c>
    </row>
    <row r="285" spans="1:22" ht="15" x14ac:dyDescent="0.25">
      <c r="A285" s="53"/>
      <c r="B285" s="53"/>
      <c r="C285" s="54" t="s">
        <v>685</v>
      </c>
      <c r="D285" s="53"/>
      <c r="E285" s="53"/>
      <c r="F285" s="53"/>
      <c r="G285" s="53"/>
      <c r="H285" s="53"/>
      <c r="I285" s="55">
        <f>J272+J273+J275+J281+J282+J283+SUM(J276:J280)</f>
        <v>61676.530000000006</v>
      </c>
      <c r="J285" s="55"/>
      <c r="K285" s="56">
        <f>IF(Source!I75&lt;&gt;0, ROUND(I285/Source!I75, 2), 0)</f>
        <v>246706.12</v>
      </c>
      <c r="P285" s="43">
        <f>J272+J273+J275+J281+J282+J283+SUM(J276:J280)</f>
        <v>61676.530000000006</v>
      </c>
    </row>
    <row r="287" spans="1:22" ht="42.75" x14ac:dyDescent="0.2">
      <c r="A287" s="34" t="str">
        <f>Source!E81</f>
        <v>20</v>
      </c>
      <c r="B287" s="35" t="str">
        <f>Source!F81</f>
        <v>3.9-74-1</v>
      </c>
      <c r="C287" s="35" t="s">
        <v>262</v>
      </c>
      <c r="D287" s="36" t="str">
        <f>Source!H81</f>
        <v>10 шт.</v>
      </c>
      <c r="E287" s="28">
        <f>Source!I81</f>
        <v>0.2</v>
      </c>
      <c r="F287" s="38"/>
      <c r="G287" s="37"/>
      <c r="H287" s="28"/>
      <c r="I287" s="28"/>
      <c r="J287" s="39"/>
      <c r="K287" s="39"/>
      <c r="Q287">
        <f>ROUND((Source!DN81/100)*ROUND((Source!AF81*Source!AV81)*Source!I81, 2), 2)</f>
        <v>140.35</v>
      </c>
      <c r="R287">
        <f>Source!X81</f>
        <v>2290.5300000000002</v>
      </c>
      <c r="S287">
        <f>ROUND((Source!DO81/100)*ROUND((Source!AF81*Source!AV81)*Source!I81, 2), 2)</f>
        <v>115.58</v>
      </c>
      <c r="T287">
        <f>Source!Y81</f>
        <v>1381.06</v>
      </c>
      <c r="U287">
        <f>ROUND((175/100)*ROUND((Source!AE81*Source!AV81)*Source!I81, 2), 2)</f>
        <v>1.37</v>
      </c>
      <c r="V287">
        <f>ROUND((157/100)*ROUND(Source!CS81*Source!I81, 2), 2)</f>
        <v>25.07</v>
      </c>
    </row>
    <row r="288" spans="1:22" x14ac:dyDescent="0.2">
      <c r="C288" s="40" t="str">
        <f>"Объем: "&amp;Source!I81&amp;"=2/"&amp;"10"</f>
        <v>Объем: 0,2=2/10</v>
      </c>
    </row>
    <row r="289" spans="1:22" ht="14.25" x14ac:dyDescent="0.2">
      <c r="A289" s="34"/>
      <c r="B289" s="35"/>
      <c r="C289" s="35" t="s">
        <v>675</v>
      </c>
      <c r="D289" s="36"/>
      <c r="E289" s="28"/>
      <c r="F289" s="38">
        <f>Source!AO81</f>
        <v>660.45</v>
      </c>
      <c r="G289" s="37" t="str">
        <f>Source!DG81</f>
        <v>)*1,15</v>
      </c>
      <c r="H289" s="28">
        <f>Source!AV81</f>
        <v>1.087</v>
      </c>
      <c r="I289" s="28">
        <f>IF(Source!BA81&lt;&gt; 0, Source!BA81, 1)</f>
        <v>20.399999999999999</v>
      </c>
      <c r="J289" s="39">
        <f>Source!S81</f>
        <v>3368.43</v>
      </c>
      <c r="K289" s="39"/>
    </row>
    <row r="290" spans="1:22" ht="14.25" x14ac:dyDescent="0.2">
      <c r="A290" s="34"/>
      <c r="B290" s="35"/>
      <c r="C290" s="35" t="s">
        <v>676</v>
      </c>
      <c r="D290" s="36"/>
      <c r="E290" s="28"/>
      <c r="F290" s="38">
        <f>Source!AM81</f>
        <v>23.33</v>
      </c>
      <c r="G290" s="37" t="str">
        <f>Source!DE81</f>
        <v>)*1,25</v>
      </c>
      <c r="H290" s="28">
        <f>Source!AV81</f>
        <v>1.087</v>
      </c>
      <c r="I290" s="28">
        <f>IF(Source!BB81&lt;&gt; 0, Source!BB81, 1)</f>
        <v>6.21</v>
      </c>
      <c r="J290" s="39">
        <f>Source!Q81</f>
        <v>39.369999999999997</v>
      </c>
      <c r="K290" s="39"/>
    </row>
    <row r="291" spans="1:22" ht="14.25" x14ac:dyDescent="0.2">
      <c r="A291" s="34"/>
      <c r="B291" s="35"/>
      <c r="C291" s="35" t="s">
        <v>677</v>
      </c>
      <c r="D291" s="36"/>
      <c r="E291" s="28"/>
      <c r="F291" s="38">
        <f>Source!AN81</f>
        <v>2.88</v>
      </c>
      <c r="G291" s="37" t="str">
        <f>Source!DF81</f>
        <v>)*1,25</v>
      </c>
      <c r="H291" s="28">
        <f>Source!AV81</f>
        <v>1.087</v>
      </c>
      <c r="I291" s="28">
        <f>IF(Source!BS81&lt;&gt; 0, Source!BS81, 1)</f>
        <v>20.399999999999999</v>
      </c>
      <c r="J291" s="41">
        <f>Source!R81</f>
        <v>15.97</v>
      </c>
      <c r="K291" s="39"/>
    </row>
    <row r="292" spans="1:22" ht="14.25" x14ac:dyDescent="0.2">
      <c r="A292" s="34"/>
      <c r="B292" s="35"/>
      <c r="C292" s="35" t="s">
        <v>678</v>
      </c>
      <c r="D292" s="36"/>
      <c r="E292" s="28"/>
      <c r="F292" s="38">
        <f>Source!AL81</f>
        <v>2766.32</v>
      </c>
      <c r="G292" s="37" t="str">
        <f>Source!DD81</f>
        <v/>
      </c>
      <c r="H292" s="28">
        <f>Source!AW81</f>
        <v>1</v>
      </c>
      <c r="I292" s="28">
        <f>IF(Source!BC81&lt;&gt; 0, Source!BC81, 1)</f>
        <v>4.18</v>
      </c>
      <c r="J292" s="39">
        <f>Source!P81</f>
        <v>2312.64</v>
      </c>
      <c r="K292" s="39"/>
    </row>
    <row r="293" spans="1:22" ht="114" x14ac:dyDescent="0.2">
      <c r="A293" s="34" t="str">
        <f>Source!E82</f>
        <v>20,1</v>
      </c>
      <c r="B293" s="35" t="str">
        <f>Source!F82</f>
        <v>1.7-2-261</v>
      </c>
      <c r="C293" s="35" t="s">
        <v>269</v>
      </c>
      <c r="D293" s="36" t="str">
        <f>Source!H82</f>
        <v>шт.</v>
      </c>
      <c r="E293" s="28">
        <f>Source!I82</f>
        <v>2</v>
      </c>
      <c r="F293" s="38">
        <f>Source!AK82</f>
        <v>7495.77</v>
      </c>
      <c r="G293" s="42" t="s">
        <v>3</v>
      </c>
      <c r="H293" s="28">
        <f>Source!AW82</f>
        <v>1</v>
      </c>
      <c r="I293" s="28">
        <f>IF(Source!BC82&lt;&gt; 0, Source!BC82, 1)</f>
        <v>1.91</v>
      </c>
      <c r="J293" s="39">
        <f>Source!O82</f>
        <v>28633.84</v>
      </c>
      <c r="K293" s="39"/>
      <c r="Q293">
        <f>ROUND((Source!DN82/100)*ROUND((Source!AF82*Source!AV82)*Source!I82, 2), 2)</f>
        <v>0</v>
      </c>
      <c r="R293">
        <f>Source!X82</f>
        <v>0</v>
      </c>
      <c r="S293">
        <f>ROUND((Source!DO82/100)*ROUND((Source!AF82*Source!AV82)*Source!I82, 2), 2)</f>
        <v>0</v>
      </c>
      <c r="T293">
        <f>Source!Y82</f>
        <v>0</v>
      </c>
      <c r="U293">
        <f>ROUND((175/100)*ROUND((Source!AE82*Source!AV82)*Source!I82, 2), 2)</f>
        <v>0</v>
      </c>
      <c r="V293">
        <f>ROUND((157/100)*ROUND(Source!CS82*Source!I82, 2), 2)</f>
        <v>0</v>
      </c>
    </row>
    <row r="294" spans="1:22" ht="14.25" x14ac:dyDescent="0.2">
      <c r="A294" s="34"/>
      <c r="B294" s="35"/>
      <c r="C294" s="35" t="s">
        <v>679</v>
      </c>
      <c r="D294" s="36" t="s">
        <v>680</v>
      </c>
      <c r="E294" s="28">
        <f>Source!BZ81</f>
        <v>68</v>
      </c>
      <c r="F294" s="38"/>
      <c r="G294" s="37"/>
      <c r="H294" s="28"/>
      <c r="I294" s="28"/>
      <c r="J294" s="39">
        <f>SUM(R287:R293)</f>
        <v>2290.5300000000002</v>
      </c>
      <c r="K294" s="39"/>
    </row>
    <row r="295" spans="1:22" ht="14.25" x14ac:dyDescent="0.2">
      <c r="A295" s="34"/>
      <c r="B295" s="35"/>
      <c r="C295" s="35" t="s">
        <v>681</v>
      </c>
      <c r="D295" s="36" t="s">
        <v>680</v>
      </c>
      <c r="E295" s="28">
        <f>Source!CA81</f>
        <v>41</v>
      </c>
      <c r="F295" s="38"/>
      <c r="G295" s="37"/>
      <c r="H295" s="28"/>
      <c r="I295" s="28"/>
      <c r="J295" s="39">
        <f>SUM(T287:T294)</f>
        <v>1381.06</v>
      </c>
      <c r="K295" s="39"/>
    </row>
    <row r="296" spans="1:22" ht="14.25" x14ac:dyDescent="0.2">
      <c r="A296" s="34"/>
      <c r="B296" s="35"/>
      <c r="C296" s="35" t="s">
        <v>682</v>
      </c>
      <c r="D296" s="36" t="s">
        <v>680</v>
      </c>
      <c r="E296" s="28">
        <f>157</f>
        <v>157</v>
      </c>
      <c r="F296" s="38"/>
      <c r="G296" s="37"/>
      <c r="H296" s="28"/>
      <c r="I296" s="28"/>
      <c r="J296" s="39">
        <f>SUM(V287:V295)</f>
        <v>25.07</v>
      </c>
      <c r="K296" s="39"/>
    </row>
    <row r="297" spans="1:22" ht="14.25" x14ac:dyDescent="0.2">
      <c r="A297" s="46"/>
      <c r="B297" s="47"/>
      <c r="C297" s="47" t="s">
        <v>683</v>
      </c>
      <c r="D297" s="48" t="s">
        <v>684</v>
      </c>
      <c r="E297" s="49">
        <f>Source!AQ81</f>
        <v>56.18</v>
      </c>
      <c r="F297" s="50"/>
      <c r="G297" s="51" t="str">
        <f>Source!DI81</f>
        <v>)*1,15</v>
      </c>
      <c r="H297" s="49">
        <f>Source!AV81</f>
        <v>1.087</v>
      </c>
      <c r="I297" s="49"/>
      <c r="J297" s="52"/>
      <c r="K297" s="52">
        <f>Source!U81</f>
        <v>14.0455618</v>
      </c>
    </row>
    <row r="298" spans="1:22" ht="15" x14ac:dyDescent="0.25">
      <c r="A298" s="53"/>
      <c r="B298" s="53"/>
      <c r="C298" s="54" t="s">
        <v>685</v>
      </c>
      <c r="D298" s="53"/>
      <c r="E298" s="53"/>
      <c r="F298" s="53"/>
      <c r="G298" s="53"/>
      <c r="H298" s="53"/>
      <c r="I298" s="55">
        <f>J289+J290+J292+J294+J295+J296+SUM(J293:J293)</f>
        <v>38050.94</v>
      </c>
      <c r="J298" s="55"/>
      <c r="K298" s="56">
        <f>IF(Source!I81&lt;&gt;0, ROUND(I298/Source!I81, 2), 0)</f>
        <v>190254.7</v>
      </c>
      <c r="P298" s="43">
        <f>J289+J290+J292+J294+J295+J296+SUM(J293:J293)</f>
        <v>38050.94</v>
      </c>
    </row>
    <row r="300" spans="1:22" ht="57" x14ac:dyDescent="0.2">
      <c r="A300" s="34" t="str">
        <f>Source!E83</f>
        <v>21</v>
      </c>
      <c r="B300" s="35" t="str">
        <f>Source!F83</f>
        <v>3.10-21-1</v>
      </c>
      <c r="C300" s="35" t="s">
        <v>274</v>
      </c>
      <c r="D300" s="36" t="str">
        <f>Source!H83</f>
        <v>100 м2 проемов</v>
      </c>
      <c r="E300" s="28">
        <f>Source!I83</f>
        <v>0.27</v>
      </c>
      <c r="F300" s="38"/>
      <c r="G300" s="37"/>
      <c r="H300" s="28"/>
      <c r="I300" s="28"/>
      <c r="J300" s="39"/>
      <c r="K300" s="39"/>
      <c r="Q300">
        <f>ROUND((Source!DN83/100)*ROUND((Source!AF83*Source!AV83)*Source!I83, 2), 2)</f>
        <v>369.17</v>
      </c>
      <c r="R300">
        <f>Source!X83</f>
        <v>6096.55</v>
      </c>
      <c r="S300">
        <f>ROUND((Source!DO83/100)*ROUND((Source!AF83*Source!AV83)*Source!I83, 2), 2)</f>
        <v>246.11</v>
      </c>
      <c r="T300">
        <f>Source!Y83</f>
        <v>2940.69</v>
      </c>
      <c r="U300">
        <f>ROUND((175/100)*ROUND((Source!AE83*Source!AV83)*Source!I83, 2), 2)</f>
        <v>45.55</v>
      </c>
      <c r="V300">
        <f>ROUND((157/100)*ROUND(Source!CS83*Source!I83, 2), 2)</f>
        <v>833.76</v>
      </c>
    </row>
    <row r="301" spans="1:22" x14ac:dyDescent="0.2">
      <c r="C301" s="40" t="str">
        <f>"Объем: "&amp;Source!I83&amp;"=(1,8*"&amp;"15)/"&amp;"100"</f>
        <v>Объем: 0,27=(1,8*15)/100</v>
      </c>
    </row>
    <row r="302" spans="1:22" ht="14.25" x14ac:dyDescent="0.2">
      <c r="A302" s="34"/>
      <c r="B302" s="35"/>
      <c r="C302" s="35" t="s">
        <v>675</v>
      </c>
      <c r="D302" s="36"/>
      <c r="E302" s="28"/>
      <c r="F302" s="38">
        <f>Source!AO83</f>
        <v>1081.5</v>
      </c>
      <c r="G302" s="37" t="str">
        <f>Source!DG83</f>
        <v>)*1,15</v>
      </c>
      <c r="H302" s="28">
        <f>Source!AV83</f>
        <v>1.0469999999999999</v>
      </c>
      <c r="I302" s="28">
        <f>IF(Source!BA83&lt;&gt; 0, Source!BA83, 1)</f>
        <v>20.399999999999999</v>
      </c>
      <c r="J302" s="39">
        <f>Source!S83</f>
        <v>7172.41</v>
      </c>
      <c r="K302" s="39"/>
    </row>
    <row r="303" spans="1:22" ht="14.25" x14ac:dyDescent="0.2">
      <c r="A303" s="34"/>
      <c r="B303" s="35"/>
      <c r="C303" s="35" t="s">
        <v>676</v>
      </c>
      <c r="D303" s="36"/>
      <c r="E303" s="28"/>
      <c r="F303" s="38">
        <f>Source!AM83</f>
        <v>319.58</v>
      </c>
      <c r="G303" s="37" t="str">
        <f>Source!DE83</f>
        <v>)*1,25</v>
      </c>
      <c r="H303" s="28">
        <f>Source!AV83</f>
        <v>1.0469999999999999</v>
      </c>
      <c r="I303" s="28">
        <f>IF(Source!BB83&lt;&gt; 0, Source!BB83, 1)</f>
        <v>8.5399999999999991</v>
      </c>
      <c r="J303" s="39">
        <f>Source!Q83</f>
        <v>964.4</v>
      </c>
      <c r="K303" s="39"/>
    </row>
    <row r="304" spans="1:22" ht="14.25" x14ac:dyDescent="0.2">
      <c r="A304" s="34"/>
      <c r="B304" s="35"/>
      <c r="C304" s="35" t="s">
        <v>677</v>
      </c>
      <c r="D304" s="36"/>
      <c r="E304" s="28"/>
      <c r="F304" s="38">
        <f>Source!AN83</f>
        <v>73.67</v>
      </c>
      <c r="G304" s="37" t="str">
        <f>Source!DF83</f>
        <v>)*1,25</v>
      </c>
      <c r="H304" s="28">
        <f>Source!AV83</f>
        <v>1.0469999999999999</v>
      </c>
      <c r="I304" s="28">
        <f>IF(Source!BS83&lt;&gt; 0, Source!BS83, 1)</f>
        <v>20.399999999999999</v>
      </c>
      <c r="J304" s="41">
        <f>Source!R83</f>
        <v>531.05999999999995</v>
      </c>
      <c r="K304" s="39"/>
    </row>
    <row r="305" spans="1:22" ht="14.25" x14ac:dyDescent="0.2">
      <c r="A305" s="34"/>
      <c r="B305" s="35"/>
      <c r="C305" s="35" t="s">
        <v>678</v>
      </c>
      <c r="D305" s="36"/>
      <c r="E305" s="28"/>
      <c r="F305" s="38">
        <f>Source!AL83</f>
        <v>2042.07</v>
      </c>
      <c r="G305" s="37" t="str">
        <f>Source!DD83</f>
        <v/>
      </c>
      <c r="H305" s="28">
        <f>Source!AW83</f>
        <v>1</v>
      </c>
      <c r="I305" s="28">
        <f>IF(Source!BC83&lt;&gt; 0, Source!BC83, 1)</f>
        <v>6.45</v>
      </c>
      <c r="J305" s="39">
        <f>Source!P83</f>
        <v>3556.26</v>
      </c>
      <c r="K305" s="39"/>
    </row>
    <row r="306" spans="1:22" ht="28.5" x14ac:dyDescent="0.2">
      <c r="A306" s="34" t="str">
        <f>Source!E84</f>
        <v>21,1</v>
      </c>
      <c r="B306" s="35" t="str">
        <f>Source!F84</f>
        <v>1.8-1-8</v>
      </c>
      <c r="C306" s="35" t="s">
        <v>281</v>
      </c>
      <c r="D306" s="36" t="str">
        <f>Source!H84</f>
        <v>КОМПЛЕКТ</v>
      </c>
      <c r="E306" s="28">
        <f>Source!I84</f>
        <v>15</v>
      </c>
      <c r="F306" s="38">
        <f>Source!AK84</f>
        <v>72.27</v>
      </c>
      <c r="G306" s="42" t="s">
        <v>3</v>
      </c>
      <c r="H306" s="28">
        <f>Source!AW84</f>
        <v>1</v>
      </c>
      <c r="I306" s="28">
        <f>IF(Source!BC84&lt;&gt; 0, Source!BC84, 1)</f>
        <v>4.42</v>
      </c>
      <c r="J306" s="39">
        <f>Source!O84</f>
        <v>4791.5</v>
      </c>
      <c r="K306" s="39"/>
      <c r="Q306">
        <f>ROUND((Source!DN84/100)*ROUND((Source!AF84*Source!AV84)*Source!I84, 2), 2)</f>
        <v>0</v>
      </c>
      <c r="R306">
        <f>Source!X84</f>
        <v>0</v>
      </c>
      <c r="S306">
        <f>ROUND((Source!DO84/100)*ROUND((Source!AF84*Source!AV84)*Source!I84, 2), 2)</f>
        <v>0</v>
      </c>
      <c r="T306">
        <f>Source!Y84</f>
        <v>0</v>
      </c>
      <c r="U306">
        <f>ROUND((175/100)*ROUND((Source!AE84*Source!AV84)*Source!I84, 2), 2)</f>
        <v>0</v>
      </c>
      <c r="V306">
        <f>ROUND((157/100)*ROUND(Source!CS84*Source!I84, 2), 2)</f>
        <v>0</v>
      </c>
    </row>
    <row r="307" spans="1:22" ht="156.75" x14ac:dyDescent="0.2">
      <c r="A307" s="34" t="str">
        <f>Source!E85</f>
        <v>21,2</v>
      </c>
      <c r="B307" s="35" t="str">
        <f>Source!F85</f>
        <v>1.9-7-347</v>
      </c>
      <c r="C307" s="35" t="s">
        <v>649</v>
      </c>
      <c r="D307" s="36" t="str">
        <f>Source!H85</f>
        <v>м2</v>
      </c>
      <c r="E307" s="28">
        <f>Source!I85</f>
        <v>27</v>
      </c>
      <c r="F307" s="38">
        <f>Source!AK85</f>
        <v>269.76</v>
      </c>
      <c r="G307" s="42" t="s">
        <v>3</v>
      </c>
      <c r="H307" s="28">
        <f>Source!AW85</f>
        <v>1</v>
      </c>
      <c r="I307" s="28">
        <f>IF(Source!BC85&lt;&gt; 0, Source!BC85, 1)</f>
        <v>4.68</v>
      </c>
      <c r="J307" s="39">
        <f>Source!O85</f>
        <v>34086.870000000003</v>
      </c>
      <c r="K307" s="39"/>
      <c r="Q307">
        <f>ROUND((Source!DN85/100)*ROUND((Source!AF85*Source!AV85)*Source!I85, 2), 2)</f>
        <v>0</v>
      </c>
      <c r="R307">
        <f>Source!X85</f>
        <v>0</v>
      </c>
      <c r="S307">
        <f>ROUND((Source!DO85/100)*ROUND((Source!AF85*Source!AV85)*Source!I85, 2), 2)</f>
        <v>0</v>
      </c>
      <c r="T307">
        <f>Source!Y85</f>
        <v>0</v>
      </c>
      <c r="U307">
        <f>ROUND((175/100)*ROUND((Source!AE85*Source!AV85)*Source!I85, 2), 2)</f>
        <v>0</v>
      </c>
      <c r="V307">
        <f>ROUND((157/100)*ROUND(Source!CS85*Source!I85, 2), 2)</f>
        <v>0</v>
      </c>
    </row>
    <row r="308" spans="1:22" ht="14.25" x14ac:dyDescent="0.2">
      <c r="A308" s="34"/>
      <c r="B308" s="35"/>
      <c r="C308" s="35" t="s">
        <v>679</v>
      </c>
      <c r="D308" s="36" t="s">
        <v>680</v>
      </c>
      <c r="E308" s="28">
        <f>Source!BZ83</f>
        <v>85</v>
      </c>
      <c r="F308" s="38"/>
      <c r="G308" s="37"/>
      <c r="H308" s="28"/>
      <c r="I308" s="28"/>
      <c r="J308" s="39">
        <f>SUM(R300:R307)</f>
        <v>6096.55</v>
      </c>
      <c r="K308" s="39"/>
    </row>
    <row r="309" spans="1:22" ht="14.25" x14ac:dyDescent="0.2">
      <c r="A309" s="34"/>
      <c r="B309" s="35"/>
      <c r="C309" s="35" t="s">
        <v>681</v>
      </c>
      <c r="D309" s="36" t="s">
        <v>680</v>
      </c>
      <c r="E309" s="28">
        <f>Source!CA83</f>
        <v>41</v>
      </c>
      <c r="F309" s="38"/>
      <c r="G309" s="37"/>
      <c r="H309" s="28"/>
      <c r="I309" s="28"/>
      <c r="J309" s="39">
        <f>SUM(T300:T308)</f>
        <v>2940.69</v>
      </c>
      <c r="K309" s="39"/>
    </row>
    <row r="310" spans="1:22" ht="14.25" x14ac:dyDescent="0.2">
      <c r="A310" s="34"/>
      <c r="B310" s="35"/>
      <c r="C310" s="35" t="s">
        <v>682</v>
      </c>
      <c r="D310" s="36" t="s">
        <v>680</v>
      </c>
      <c r="E310" s="28">
        <f>157</f>
        <v>157</v>
      </c>
      <c r="F310" s="38"/>
      <c r="G310" s="37"/>
      <c r="H310" s="28"/>
      <c r="I310" s="28"/>
      <c r="J310" s="39">
        <f>SUM(V300:V309)</f>
        <v>833.76</v>
      </c>
      <c r="K310" s="39"/>
    </row>
    <row r="311" spans="1:22" ht="14.25" x14ac:dyDescent="0.2">
      <c r="A311" s="46"/>
      <c r="B311" s="47"/>
      <c r="C311" s="47" t="s">
        <v>683</v>
      </c>
      <c r="D311" s="48" t="s">
        <v>684</v>
      </c>
      <c r="E311" s="49">
        <f>Source!AQ83</f>
        <v>89.9</v>
      </c>
      <c r="F311" s="50"/>
      <c r="G311" s="51" t="str">
        <f>Source!DI83</f>
        <v>)*1,15</v>
      </c>
      <c r="H311" s="49">
        <f>Source!AV83</f>
        <v>1.0469999999999999</v>
      </c>
      <c r="I311" s="49"/>
      <c r="J311" s="52"/>
      <c r="K311" s="52">
        <f>Source!U83</f>
        <v>29.225905650000001</v>
      </c>
    </row>
    <row r="312" spans="1:22" ht="15" x14ac:dyDescent="0.25">
      <c r="A312" s="53"/>
      <c r="B312" s="53"/>
      <c r="C312" s="54" t="s">
        <v>685</v>
      </c>
      <c r="D312" s="53"/>
      <c r="E312" s="53"/>
      <c r="F312" s="53"/>
      <c r="G312" s="53"/>
      <c r="H312" s="53"/>
      <c r="I312" s="55">
        <f>J302+J303+J305+J308+J309+J310+SUM(J306:J307)</f>
        <v>60442.44</v>
      </c>
      <c r="J312" s="55"/>
      <c r="K312" s="56">
        <f>IF(Source!I83&lt;&gt;0, ROUND(I312/Source!I83, 2), 0)</f>
        <v>223860.89</v>
      </c>
      <c r="P312" s="43">
        <f>J302+J303+J305+J308+J309+J310+SUM(J306:J307)</f>
        <v>60442.44</v>
      </c>
    </row>
    <row r="314" spans="1:22" ht="28.5" x14ac:dyDescent="0.2">
      <c r="A314" s="34" t="str">
        <f>Source!E86</f>
        <v>22</v>
      </c>
      <c r="B314" s="35" t="str">
        <f>Source!F86</f>
        <v>3.10-34-1</v>
      </c>
      <c r="C314" s="35" t="s">
        <v>288</v>
      </c>
      <c r="D314" s="36" t="str">
        <f>Source!H86</f>
        <v>100 м коробок</v>
      </c>
      <c r="E314" s="28">
        <f>Source!I86</f>
        <v>0.86699999999999999</v>
      </c>
      <c r="F314" s="38"/>
      <c r="G314" s="37"/>
      <c r="H314" s="28"/>
      <c r="I314" s="28"/>
      <c r="J314" s="39"/>
      <c r="K314" s="39"/>
      <c r="Q314">
        <f>ROUND((Source!DN86/100)*ROUND((Source!AF86*Source!AV86)*Source!I86, 2), 2)</f>
        <v>91.71</v>
      </c>
      <c r="R314">
        <f>Source!X86</f>
        <v>1514.55</v>
      </c>
      <c r="S314">
        <f>ROUND((Source!DO86/100)*ROUND((Source!AF86*Source!AV86)*Source!I86, 2), 2)</f>
        <v>61.14</v>
      </c>
      <c r="T314">
        <f>Source!Y86</f>
        <v>730.55</v>
      </c>
      <c r="U314">
        <f>ROUND((175/100)*ROUND((Source!AE86*Source!AV86)*Source!I86, 2), 2)</f>
        <v>1.75</v>
      </c>
      <c r="V314">
        <f>ROUND((157/100)*ROUND(Source!CS86*Source!I86, 2), 2)</f>
        <v>31.98</v>
      </c>
    </row>
    <row r="315" spans="1:22" x14ac:dyDescent="0.2">
      <c r="C315" s="40" t="str">
        <f>"Объем: "&amp;Source!I86&amp;"=(2,1*"&amp;"2+"&amp;"0,9)*"&amp;"17/"&amp;"100"</f>
        <v>Объем: 0,867=(2,1*2+0,9)*17/100</v>
      </c>
    </row>
    <row r="316" spans="1:22" ht="14.25" x14ac:dyDescent="0.2">
      <c r="A316" s="34"/>
      <c r="B316" s="35"/>
      <c r="C316" s="35" t="s">
        <v>675</v>
      </c>
      <c r="D316" s="36"/>
      <c r="E316" s="28"/>
      <c r="F316" s="38">
        <f>Source!AO86</f>
        <v>83.67</v>
      </c>
      <c r="G316" s="37" t="str">
        <f>Source!DG86</f>
        <v>)*1,15</v>
      </c>
      <c r="H316" s="28">
        <f>Source!AV86</f>
        <v>1.0469999999999999</v>
      </c>
      <c r="I316" s="28">
        <f>IF(Source!BA86&lt;&gt; 0, Source!BA86, 1)</f>
        <v>20.399999999999999</v>
      </c>
      <c r="J316" s="39">
        <f>Source!S86</f>
        <v>1781.82</v>
      </c>
      <c r="K316" s="39"/>
    </row>
    <row r="317" spans="1:22" ht="14.25" x14ac:dyDescent="0.2">
      <c r="A317" s="34"/>
      <c r="B317" s="35"/>
      <c r="C317" s="35" t="s">
        <v>676</v>
      </c>
      <c r="D317" s="36"/>
      <c r="E317" s="28"/>
      <c r="F317" s="38">
        <f>Source!AM86</f>
        <v>3.72</v>
      </c>
      <c r="G317" s="37" t="str">
        <f>Source!DE86</f>
        <v>)*1,25</v>
      </c>
      <c r="H317" s="28">
        <f>Source!AV86</f>
        <v>1.0469999999999999</v>
      </c>
      <c r="I317" s="28">
        <f>IF(Source!BB86&lt;&gt; 0, Source!BB86, 1)</f>
        <v>8.9499999999999993</v>
      </c>
      <c r="J317" s="39">
        <f>Source!Q86</f>
        <v>37.78</v>
      </c>
      <c r="K317" s="39"/>
    </row>
    <row r="318" spans="1:22" ht="14.25" x14ac:dyDescent="0.2">
      <c r="A318" s="34"/>
      <c r="B318" s="35"/>
      <c r="C318" s="35" t="s">
        <v>677</v>
      </c>
      <c r="D318" s="36"/>
      <c r="E318" s="28"/>
      <c r="F318" s="38">
        <f>Source!AN86</f>
        <v>0.88</v>
      </c>
      <c r="G318" s="37" t="str">
        <f>Source!DF86</f>
        <v>)*1,25</v>
      </c>
      <c r="H318" s="28">
        <f>Source!AV86</f>
        <v>1.0469999999999999</v>
      </c>
      <c r="I318" s="28">
        <f>IF(Source!BS86&lt;&gt; 0, Source!BS86, 1)</f>
        <v>20.399999999999999</v>
      </c>
      <c r="J318" s="41">
        <f>Source!R86</f>
        <v>20.37</v>
      </c>
      <c r="K318" s="39"/>
    </row>
    <row r="319" spans="1:22" ht="14.25" x14ac:dyDescent="0.2">
      <c r="A319" s="34"/>
      <c r="B319" s="35"/>
      <c r="C319" s="35" t="s">
        <v>678</v>
      </c>
      <c r="D319" s="36"/>
      <c r="E319" s="28"/>
      <c r="F319" s="38">
        <f>Source!AL86</f>
        <v>1.75</v>
      </c>
      <c r="G319" s="37" t="str">
        <f>Source!DD86</f>
        <v/>
      </c>
      <c r="H319" s="28">
        <f>Source!AW86</f>
        <v>1</v>
      </c>
      <c r="I319" s="28">
        <f>IF(Source!BC86&lt;&gt; 0, Source!BC86, 1)</f>
        <v>5.23</v>
      </c>
      <c r="J319" s="39">
        <f>Source!P86</f>
        <v>7.94</v>
      </c>
      <c r="K319" s="39"/>
    </row>
    <row r="320" spans="1:22" ht="28.5" x14ac:dyDescent="0.2">
      <c r="A320" s="34" t="str">
        <f>Source!E87</f>
        <v>22,1</v>
      </c>
      <c r="B320" s="35" t="str">
        <f>Source!F87</f>
        <v>1.9-12-37</v>
      </c>
      <c r="C320" s="35" t="s">
        <v>293</v>
      </c>
      <c r="D320" s="36" t="str">
        <f>Source!H87</f>
        <v>м</v>
      </c>
      <c r="E320" s="28">
        <f>Source!I87</f>
        <v>97.103999999999999</v>
      </c>
      <c r="F320" s="38">
        <f>Source!AK87</f>
        <v>4.0199999999999996</v>
      </c>
      <c r="G320" s="42" t="s">
        <v>3</v>
      </c>
      <c r="H320" s="28">
        <f>Source!AW87</f>
        <v>1</v>
      </c>
      <c r="I320" s="28">
        <f>IF(Source!BC87&lt;&gt; 0, Source!BC87, 1)</f>
        <v>6.17</v>
      </c>
      <c r="J320" s="39">
        <f>Source!O87</f>
        <v>2408.5100000000002</v>
      </c>
      <c r="K320" s="39"/>
      <c r="Q320">
        <f>ROUND((Source!DN87/100)*ROUND((Source!AF87*Source!AV87)*Source!I87, 2), 2)</f>
        <v>0</v>
      </c>
      <c r="R320">
        <f>Source!X87</f>
        <v>0</v>
      </c>
      <c r="S320">
        <f>ROUND((Source!DO87/100)*ROUND((Source!AF87*Source!AV87)*Source!I87, 2), 2)</f>
        <v>0</v>
      </c>
      <c r="T320">
        <f>Source!Y87</f>
        <v>0</v>
      </c>
      <c r="U320">
        <f>ROUND((175/100)*ROUND((Source!AE87*Source!AV87)*Source!I87, 2), 2)</f>
        <v>0</v>
      </c>
      <c r="V320">
        <f>ROUND((157/100)*ROUND(Source!CS87*Source!I87, 2), 2)</f>
        <v>0</v>
      </c>
    </row>
    <row r="321" spans="1:22" ht="14.25" x14ac:dyDescent="0.2">
      <c r="A321" s="34"/>
      <c r="B321" s="35"/>
      <c r="C321" s="35" t="s">
        <v>679</v>
      </c>
      <c r="D321" s="36" t="s">
        <v>680</v>
      </c>
      <c r="E321" s="28">
        <f>Source!BZ86</f>
        <v>85</v>
      </c>
      <c r="F321" s="38"/>
      <c r="G321" s="37"/>
      <c r="H321" s="28"/>
      <c r="I321" s="28"/>
      <c r="J321" s="39">
        <f>SUM(R314:R320)</f>
        <v>1514.55</v>
      </c>
      <c r="K321" s="39"/>
    </row>
    <row r="322" spans="1:22" ht="14.25" x14ac:dyDescent="0.2">
      <c r="A322" s="34"/>
      <c r="B322" s="35"/>
      <c r="C322" s="35" t="s">
        <v>681</v>
      </c>
      <c r="D322" s="36" t="s">
        <v>680</v>
      </c>
      <c r="E322" s="28">
        <f>Source!CA86</f>
        <v>41</v>
      </c>
      <c r="F322" s="38"/>
      <c r="G322" s="37"/>
      <c r="H322" s="28"/>
      <c r="I322" s="28"/>
      <c r="J322" s="39">
        <f>SUM(T314:T321)</f>
        <v>730.55</v>
      </c>
      <c r="K322" s="39"/>
    </row>
    <row r="323" spans="1:22" ht="14.25" x14ac:dyDescent="0.2">
      <c r="A323" s="34"/>
      <c r="B323" s="35"/>
      <c r="C323" s="35" t="s">
        <v>682</v>
      </c>
      <c r="D323" s="36" t="s">
        <v>680</v>
      </c>
      <c r="E323" s="28">
        <f>157</f>
        <v>157</v>
      </c>
      <c r="F323" s="38"/>
      <c r="G323" s="37"/>
      <c r="H323" s="28"/>
      <c r="I323" s="28"/>
      <c r="J323" s="39">
        <f>SUM(V314:V322)</f>
        <v>31.98</v>
      </c>
      <c r="K323" s="39"/>
    </row>
    <row r="324" spans="1:22" ht="14.25" x14ac:dyDescent="0.2">
      <c r="A324" s="46"/>
      <c r="B324" s="47"/>
      <c r="C324" s="47" t="s">
        <v>683</v>
      </c>
      <c r="D324" s="48" t="s">
        <v>684</v>
      </c>
      <c r="E324" s="49">
        <f>Source!AQ86</f>
        <v>7.82</v>
      </c>
      <c r="F324" s="50"/>
      <c r="G324" s="51" t="str">
        <f>Source!DI86</f>
        <v>)*1,15</v>
      </c>
      <c r="H324" s="49">
        <f>Source!AV86</f>
        <v>1.0469999999999999</v>
      </c>
      <c r="I324" s="49"/>
      <c r="J324" s="52"/>
      <c r="K324" s="52">
        <f>Source!U86</f>
        <v>8.1633867569999996</v>
      </c>
    </row>
    <row r="325" spans="1:22" ht="15" x14ac:dyDescent="0.25">
      <c r="A325" s="53"/>
      <c r="B325" s="53"/>
      <c r="C325" s="54" t="s">
        <v>685</v>
      </c>
      <c r="D325" s="53"/>
      <c r="E325" s="53"/>
      <c r="F325" s="53"/>
      <c r="G325" s="53"/>
      <c r="H325" s="53"/>
      <c r="I325" s="55">
        <f>J316+J317+J319+J321+J322+J323+SUM(J320:J320)</f>
        <v>6513.13</v>
      </c>
      <c r="J325" s="55"/>
      <c r="K325" s="56">
        <f>IF(Source!I86&lt;&gt;0, ROUND(I325/Source!I86, 2), 0)</f>
        <v>7512.26</v>
      </c>
      <c r="P325" s="43">
        <f>J316+J317+J319+J321+J322+J323+SUM(J320:J320)</f>
        <v>6513.13</v>
      </c>
    </row>
    <row r="327" spans="1:22" ht="28.5" x14ac:dyDescent="0.2">
      <c r="A327" s="34" t="str">
        <f>Source!E88</f>
        <v>23</v>
      </c>
      <c r="B327" s="35" t="str">
        <f>Source!F88</f>
        <v>3.10-82-1</v>
      </c>
      <c r="C327" s="35" t="s">
        <v>297</v>
      </c>
      <c r="D327" s="36" t="str">
        <f>Source!H88</f>
        <v>1  ШТ.</v>
      </c>
      <c r="E327" s="28">
        <f>Source!I88</f>
        <v>2</v>
      </c>
      <c r="F327" s="38"/>
      <c r="G327" s="37"/>
      <c r="H327" s="28"/>
      <c r="I327" s="28"/>
      <c r="J327" s="39"/>
      <c r="K327" s="39"/>
      <c r="Q327">
        <f>ROUND((Source!DN88/100)*ROUND((Source!AF88*Source!AV88)*Source!I88, 2), 2)</f>
        <v>32.61</v>
      </c>
      <c r="R327">
        <f>Source!X88</f>
        <v>533.62</v>
      </c>
      <c r="S327">
        <f>ROUND((Source!DO88/100)*ROUND((Source!AF88*Source!AV88)*Source!I88, 2), 2)</f>
        <v>25.08</v>
      </c>
      <c r="T327">
        <f>Source!Y88</f>
        <v>299.7</v>
      </c>
      <c r="U327">
        <f>ROUND((175/100)*ROUND((Source!AE88*Source!AV88)*Source!I88, 2), 2)</f>
        <v>0.42</v>
      </c>
      <c r="V327">
        <f>ROUND((157/100)*ROUND(Source!CS88*Source!I88, 2), 2)</f>
        <v>7.55</v>
      </c>
    </row>
    <row r="328" spans="1:22" ht="14.25" x14ac:dyDescent="0.2">
      <c r="A328" s="34"/>
      <c r="B328" s="35"/>
      <c r="C328" s="35" t="s">
        <v>675</v>
      </c>
      <c r="D328" s="36"/>
      <c r="E328" s="28"/>
      <c r="F328" s="38">
        <f>Source!AO88</f>
        <v>14.88</v>
      </c>
      <c r="G328" s="37" t="str">
        <f>Source!DG88</f>
        <v>)*1,15</v>
      </c>
      <c r="H328" s="28">
        <f>Source!AV88</f>
        <v>1.0469999999999999</v>
      </c>
      <c r="I328" s="28">
        <f>IF(Source!BA88&lt;&gt; 0, Source!BA88, 1)</f>
        <v>20.399999999999999</v>
      </c>
      <c r="J328" s="39">
        <f>Source!S88</f>
        <v>730.98</v>
      </c>
      <c r="K328" s="39"/>
    </row>
    <row r="329" spans="1:22" ht="14.25" x14ac:dyDescent="0.2">
      <c r="A329" s="34"/>
      <c r="B329" s="35"/>
      <c r="C329" s="35" t="s">
        <v>676</v>
      </c>
      <c r="D329" s="36"/>
      <c r="E329" s="28"/>
      <c r="F329" s="38">
        <f>Source!AM88</f>
        <v>1.99</v>
      </c>
      <c r="G329" s="37" t="str">
        <f>Source!DE88</f>
        <v>)*1,25</v>
      </c>
      <c r="H329" s="28">
        <f>Source!AV88</f>
        <v>1.0469999999999999</v>
      </c>
      <c r="I329" s="28">
        <f>IF(Source!BB88&lt;&gt; 0, Source!BB88, 1)</f>
        <v>6.54</v>
      </c>
      <c r="J329" s="39">
        <f>Source!Q88</f>
        <v>34.07</v>
      </c>
      <c r="K329" s="39"/>
    </row>
    <row r="330" spans="1:22" ht="14.25" x14ac:dyDescent="0.2">
      <c r="A330" s="34"/>
      <c r="B330" s="35"/>
      <c r="C330" s="35" t="s">
        <v>677</v>
      </c>
      <c r="D330" s="36"/>
      <c r="E330" s="28"/>
      <c r="F330" s="38">
        <f>Source!AN88</f>
        <v>0.09</v>
      </c>
      <c r="G330" s="37" t="str">
        <f>Source!DF88</f>
        <v>)*1,25</v>
      </c>
      <c r="H330" s="28">
        <f>Source!AV88</f>
        <v>1.0469999999999999</v>
      </c>
      <c r="I330" s="28">
        <f>IF(Source!BS88&lt;&gt; 0, Source!BS88, 1)</f>
        <v>20.399999999999999</v>
      </c>
      <c r="J330" s="41">
        <f>Source!R88</f>
        <v>4.8099999999999996</v>
      </c>
      <c r="K330" s="39"/>
    </row>
    <row r="331" spans="1:22" ht="14.25" x14ac:dyDescent="0.2">
      <c r="A331" s="34"/>
      <c r="B331" s="35"/>
      <c r="C331" s="35" t="s">
        <v>678</v>
      </c>
      <c r="D331" s="36"/>
      <c r="E331" s="28"/>
      <c r="F331" s="38">
        <f>Source!AL88</f>
        <v>0.41</v>
      </c>
      <c r="G331" s="37" t="str">
        <f>Source!DD88</f>
        <v/>
      </c>
      <c r="H331" s="28">
        <f>Source!AW88</f>
        <v>1.002</v>
      </c>
      <c r="I331" s="28">
        <f>IF(Source!BC88&lt;&gt; 0, Source!BC88, 1)</f>
        <v>4.54</v>
      </c>
      <c r="J331" s="39">
        <f>Source!P88</f>
        <v>3.73</v>
      </c>
      <c r="K331" s="39"/>
    </row>
    <row r="332" spans="1:22" ht="28.5" x14ac:dyDescent="0.2">
      <c r="A332" s="34" t="str">
        <f>Source!E89</f>
        <v>23,1</v>
      </c>
      <c r="B332" s="35" t="str">
        <f>Source!F89</f>
        <v>1.8-1-83</v>
      </c>
      <c r="C332" s="35" t="s">
        <v>304</v>
      </c>
      <c r="D332" s="36" t="str">
        <f>Source!H89</f>
        <v>КОМПЛЕКТ</v>
      </c>
      <c r="E332" s="28">
        <f>Source!I89</f>
        <v>2</v>
      </c>
      <c r="F332" s="38">
        <f>Source!AK89</f>
        <v>1390.95</v>
      </c>
      <c r="G332" s="42" t="s">
        <v>3</v>
      </c>
      <c r="H332" s="28">
        <f>Source!AW89</f>
        <v>1.002</v>
      </c>
      <c r="I332" s="28">
        <f>IF(Source!BC89&lt;&gt; 0, Source!BC89, 1)</f>
        <v>3.98</v>
      </c>
      <c r="J332" s="39">
        <f>Source!O89</f>
        <v>11094.11</v>
      </c>
      <c r="K332" s="39"/>
      <c r="Q332">
        <f>ROUND((Source!DN89/100)*ROUND((Source!AF89*Source!AV89)*Source!I89, 2), 2)</f>
        <v>0</v>
      </c>
      <c r="R332">
        <f>Source!X89</f>
        <v>0</v>
      </c>
      <c r="S332">
        <f>ROUND((Source!DO89/100)*ROUND((Source!AF89*Source!AV89)*Source!I89, 2), 2)</f>
        <v>0</v>
      </c>
      <c r="T332">
        <f>Source!Y89</f>
        <v>0</v>
      </c>
      <c r="U332">
        <f>ROUND((175/100)*ROUND((Source!AE89*Source!AV89)*Source!I89, 2), 2)</f>
        <v>0</v>
      </c>
      <c r="V332">
        <f>ROUND((157/100)*ROUND(Source!CS89*Source!I89, 2), 2)</f>
        <v>0</v>
      </c>
    </row>
    <row r="333" spans="1:22" ht="14.25" x14ac:dyDescent="0.2">
      <c r="A333" s="34"/>
      <c r="B333" s="35"/>
      <c r="C333" s="35" t="s">
        <v>679</v>
      </c>
      <c r="D333" s="36" t="s">
        <v>680</v>
      </c>
      <c r="E333" s="28">
        <f>Source!BZ88</f>
        <v>73</v>
      </c>
      <c r="F333" s="38"/>
      <c r="G333" s="37"/>
      <c r="H333" s="28"/>
      <c r="I333" s="28"/>
      <c r="J333" s="39">
        <f>SUM(R327:R332)</f>
        <v>533.62</v>
      </c>
      <c r="K333" s="39"/>
    </row>
    <row r="334" spans="1:22" ht="14.25" x14ac:dyDescent="0.2">
      <c r="A334" s="34"/>
      <c r="B334" s="35"/>
      <c r="C334" s="35" t="s">
        <v>681</v>
      </c>
      <c r="D334" s="36" t="s">
        <v>680</v>
      </c>
      <c r="E334" s="28">
        <f>Source!CA88</f>
        <v>41</v>
      </c>
      <c r="F334" s="38"/>
      <c r="G334" s="37"/>
      <c r="H334" s="28"/>
      <c r="I334" s="28"/>
      <c r="J334" s="39">
        <f>SUM(T327:T333)</f>
        <v>299.7</v>
      </c>
      <c r="K334" s="39"/>
    </row>
    <row r="335" spans="1:22" ht="14.25" x14ac:dyDescent="0.2">
      <c r="A335" s="34"/>
      <c r="B335" s="35"/>
      <c r="C335" s="35" t="s">
        <v>682</v>
      </c>
      <c r="D335" s="36" t="s">
        <v>680</v>
      </c>
      <c r="E335" s="28">
        <f>157</f>
        <v>157</v>
      </c>
      <c r="F335" s="38"/>
      <c r="G335" s="37"/>
      <c r="H335" s="28"/>
      <c r="I335" s="28"/>
      <c r="J335" s="39">
        <f>SUM(V327:V334)</f>
        <v>7.55</v>
      </c>
      <c r="K335" s="39"/>
    </row>
    <row r="336" spans="1:22" ht="14.25" x14ac:dyDescent="0.2">
      <c r="A336" s="46"/>
      <c r="B336" s="47"/>
      <c r="C336" s="47" t="s">
        <v>683</v>
      </c>
      <c r="D336" s="48" t="s">
        <v>684</v>
      </c>
      <c r="E336" s="49">
        <f>Source!AQ88</f>
        <v>1.1100000000000001</v>
      </c>
      <c r="F336" s="50"/>
      <c r="G336" s="51" t="str">
        <f>Source!DI88</f>
        <v>)*1,15</v>
      </c>
      <c r="H336" s="49">
        <f>Source!AV88</f>
        <v>1.0469999999999999</v>
      </c>
      <c r="I336" s="49"/>
      <c r="J336" s="52"/>
      <c r="K336" s="52">
        <f>Source!U88</f>
        <v>2.6729909999999997</v>
      </c>
    </row>
    <row r="337" spans="1:22" ht="15" x14ac:dyDescent="0.25">
      <c r="A337" s="53"/>
      <c r="B337" s="53"/>
      <c r="C337" s="54" t="s">
        <v>685</v>
      </c>
      <c r="D337" s="53"/>
      <c r="E337" s="53"/>
      <c r="F337" s="53"/>
      <c r="G337" s="53"/>
      <c r="H337" s="53"/>
      <c r="I337" s="55">
        <f>J328+J329+J331+J333+J334+J335+SUM(J332:J332)</f>
        <v>12703.76</v>
      </c>
      <c r="J337" s="55"/>
      <c r="K337" s="56">
        <f>IF(Source!I88&lt;&gt;0, ROUND(I337/Source!I88, 2), 0)</f>
        <v>6351.88</v>
      </c>
      <c r="P337" s="43">
        <f>J328+J329+J331+J333+J334+J335+SUM(J332:J332)</f>
        <v>12703.76</v>
      </c>
    </row>
    <row r="339" spans="1:22" ht="28.5" x14ac:dyDescent="0.2">
      <c r="A339" s="34" t="str">
        <f>Source!E90</f>
        <v>24</v>
      </c>
      <c r="B339" s="35" t="str">
        <f>Source!F90</f>
        <v>3.10-79-1</v>
      </c>
      <c r="C339" s="35" t="s">
        <v>308</v>
      </c>
      <c r="D339" s="36" t="str">
        <f>Source!H90</f>
        <v>10 компл.</v>
      </c>
      <c r="E339" s="28">
        <f>Source!I90</f>
        <v>1.7</v>
      </c>
      <c r="F339" s="38"/>
      <c r="G339" s="37"/>
      <c r="H339" s="28"/>
      <c r="I339" s="28"/>
      <c r="J339" s="39"/>
      <c r="K339" s="39"/>
      <c r="Q339">
        <f>ROUND((Source!DN90/100)*ROUND((Source!AF90*Source!AV90)*Source!I90, 2), 2)</f>
        <v>123.61</v>
      </c>
      <c r="R339">
        <f>Source!X90</f>
        <v>2041.2</v>
      </c>
      <c r="S339">
        <f>ROUND((Source!DO90/100)*ROUND((Source!AF90*Source!AV90)*Source!I90, 2), 2)</f>
        <v>82.4</v>
      </c>
      <c r="T339">
        <f>Source!Y90</f>
        <v>984.58</v>
      </c>
      <c r="U339">
        <f>ROUND((175/100)*ROUND((Source!AE90*Source!AV90)*Source!I90, 2), 2)</f>
        <v>0.47</v>
      </c>
      <c r="V339">
        <f>ROUND((157/100)*ROUND(Source!CS90*Source!I90, 2), 2)</f>
        <v>8.56</v>
      </c>
    </row>
    <row r="340" spans="1:22" x14ac:dyDescent="0.2">
      <c r="C340" s="40" t="str">
        <f>"Объем: "&amp;Source!I90&amp;"=17/"&amp;"10"</f>
        <v>Объем: 1,7=17/10</v>
      </c>
    </row>
    <row r="341" spans="1:22" ht="14.25" x14ac:dyDescent="0.2">
      <c r="A341" s="34"/>
      <c r="B341" s="35"/>
      <c r="C341" s="35" t="s">
        <v>675</v>
      </c>
      <c r="D341" s="36"/>
      <c r="E341" s="28"/>
      <c r="F341" s="38">
        <f>Source!AO90</f>
        <v>57.51</v>
      </c>
      <c r="G341" s="37" t="str">
        <f>Source!DG90</f>
        <v>)*1,15</v>
      </c>
      <c r="H341" s="28">
        <f>Source!AV90</f>
        <v>1.0469999999999999</v>
      </c>
      <c r="I341" s="28">
        <f>IF(Source!BA90&lt;&gt; 0, Source!BA90, 1)</f>
        <v>20.399999999999999</v>
      </c>
      <c r="J341" s="39">
        <f>Source!S90</f>
        <v>2401.41</v>
      </c>
      <c r="K341" s="39"/>
    </row>
    <row r="342" spans="1:22" ht="14.25" x14ac:dyDescent="0.2">
      <c r="A342" s="34"/>
      <c r="B342" s="35"/>
      <c r="C342" s="35" t="s">
        <v>676</v>
      </c>
      <c r="D342" s="36"/>
      <c r="E342" s="28"/>
      <c r="F342" s="38">
        <f>Source!AM90</f>
        <v>0.42</v>
      </c>
      <c r="G342" s="37" t="str">
        <f>Source!DE90</f>
        <v>)*1,25</v>
      </c>
      <c r="H342" s="28">
        <f>Source!AV90</f>
        <v>1.0469999999999999</v>
      </c>
      <c r="I342" s="28">
        <f>IF(Source!BB90&lt;&gt; 0, Source!BB90, 1)</f>
        <v>9.69</v>
      </c>
      <c r="J342" s="39">
        <f>Source!Q90</f>
        <v>9.0500000000000007</v>
      </c>
      <c r="K342" s="39"/>
    </row>
    <row r="343" spans="1:22" ht="14.25" x14ac:dyDescent="0.2">
      <c r="A343" s="34"/>
      <c r="B343" s="35"/>
      <c r="C343" s="35" t="s">
        <v>677</v>
      </c>
      <c r="D343" s="36"/>
      <c r="E343" s="28"/>
      <c r="F343" s="38">
        <f>Source!AN90</f>
        <v>0.12</v>
      </c>
      <c r="G343" s="37" t="str">
        <f>Source!DF90</f>
        <v>)*1,25</v>
      </c>
      <c r="H343" s="28">
        <f>Source!AV90</f>
        <v>1.0469999999999999</v>
      </c>
      <c r="I343" s="28">
        <f>IF(Source!BS90&lt;&gt; 0, Source!BS90, 1)</f>
        <v>20.399999999999999</v>
      </c>
      <c r="J343" s="41">
        <f>Source!R90</f>
        <v>5.45</v>
      </c>
      <c r="K343" s="39"/>
    </row>
    <row r="344" spans="1:22" ht="14.25" x14ac:dyDescent="0.2">
      <c r="A344" s="34"/>
      <c r="B344" s="35"/>
      <c r="C344" s="35" t="s">
        <v>678</v>
      </c>
      <c r="D344" s="36"/>
      <c r="E344" s="28"/>
      <c r="F344" s="38">
        <f>Source!AL90</f>
        <v>1.61</v>
      </c>
      <c r="G344" s="37" t="str">
        <f>Source!DD90</f>
        <v/>
      </c>
      <c r="H344" s="28">
        <f>Source!AW90</f>
        <v>1</v>
      </c>
      <c r="I344" s="28">
        <f>IF(Source!BC90&lt;&gt; 0, Source!BC90, 1)</f>
        <v>30.73</v>
      </c>
      <c r="J344" s="39">
        <f>Source!P90</f>
        <v>84.11</v>
      </c>
      <c r="K344" s="39"/>
    </row>
    <row r="345" spans="1:22" ht="28.5" x14ac:dyDescent="0.2">
      <c r="A345" s="34" t="str">
        <f>Source!E91</f>
        <v>24,1</v>
      </c>
      <c r="B345" s="35" t="str">
        <f>Source!F91</f>
        <v>1.8-1-8</v>
      </c>
      <c r="C345" s="35" t="s">
        <v>281</v>
      </c>
      <c r="D345" s="36" t="str">
        <f>Source!H91</f>
        <v>КОМПЛЕКТ</v>
      </c>
      <c r="E345" s="28">
        <f>Source!I91</f>
        <v>17</v>
      </c>
      <c r="F345" s="38">
        <f>Source!AK91</f>
        <v>72.27</v>
      </c>
      <c r="G345" s="42" t="s">
        <v>3</v>
      </c>
      <c r="H345" s="28">
        <f>Source!AW91</f>
        <v>1</v>
      </c>
      <c r="I345" s="28">
        <f>IF(Source!BC91&lt;&gt; 0, Source!BC91, 1)</f>
        <v>4.42</v>
      </c>
      <c r="J345" s="39">
        <f>Source!O91</f>
        <v>5430.37</v>
      </c>
      <c r="K345" s="39"/>
      <c r="Q345">
        <f>ROUND((Source!DN91/100)*ROUND((Source!AF91*Source!AV91)*Source!I91, 2), 2)</f>
        <v>0</v>
      </c>
      <c r="R345">
        <f>Source!X91</f>
        <v>0</v>
      </c>
      <c r="S345">
        <f>ROUND((Source!DO91/100)*ROUND((Source!AF91*Source!AV91)*Source!I91, 2), 2)</f>
        <v>0</v>
      </c>
      <c r="T345">
        <f>Source!Y91</f>
        <v>0</v>
      </c>
      <c r="U345">
        <f>ROUND((175/100)*ROUND((Source!AE91*Source!AV91)*Source!I91, 2), 2)</f>
        <v>0</v>
      </c>
      <c r="V345">
        <f>ROUND((157/100)*ROUND(Source!CS91*Source!I91, 2), 2)</f>
        <v>0</v>
      </c>
    </row>
    <row r="346" spans="1:22" ht="14.25" x14ac:dyDescent="0.2">
      <c r="A346" s="34"/>
      <c r="B346" s="35"/>
      <c r="C346" s="35" t="s">
        <v>679</v>
      </c>
      <c r="D346" s="36" t="s">
        <v>680</v>
      </c>
      <c r="E346" s="28">
        <f>Source!BZ90</f>
        <v>85</v>
      </c>
      <c r="F346" s="38"/>
      <c r="G346" s="37"/>
      <c r="H346" s="28"/>
      <c r="I346" s="28"/>
      <c r="J346" s="39">
        <f>SUM(R339:R345)</f>
        <v>2041.2</v>
      </c>
      <c r="K346" s="39"/>
    </row>
    <row r="347" spans="1:22" ht="14.25" x14ac:dyDescent="0.2">
      <c r="A347" s="34"/>
      <c r="B347" s="35"/>
      <c r="C347" s="35" t="s">
        <v>681</v>
      </c>
      <c r="D347" s="36" t="s">
        <v>680</v>
      </c>
      <c r="E347" s="28">
        <f>Source!CA90</f>
        <v>41</v>
      </c>
      <c r="F347" s="38"/>
      <c r="G347" s="37"/>
      <c r="H347" s="28"/>
      <c r="I347" s="28"/>
      <c r="J347" s="39">
        <f>SUM(T339:T346)</f>
        <v>984.58</v>
      </c>
      <c r="K347" s="39"/>
    </row>
    <row r="348" spans="1:22" ht="14.25" x14ac:dyDescent="0.2">
      <c r="A348" s="34"/>
      <c r="B348" s="35"/>
      <c r="C348" s="35" t="s">
        <v>682</v>
      </c>
      <c r="D348" s="36" t="s">
        <v>680</v>
      </c>
      <c r="E348" s="28">
        <f>157</f>
        <v>157</v>
      </c>
      <c r="F348" s="38"/>
      <c r="G348" s="37"/>
      <c r="H348" s="28"/>
      <c r="I348" s="28"/>
      <c r="J348" s="39">
        <f>SUM(V339:V347)</f>
        <v>8.56</v>
      </c>
      <c r="K348" s="39"/>
    </row>
    <row r="349" spans="1:22" ht="14.25" x14ac:dyDescent="0.2">
      <c r="A349" s="46"/>
      <c r="B349" s="47"/>
      <c r="C349" s="47" t="s">
        <v>683</v>
      </c>
      <c r="D349" s="48" t="s">
        <v>684</v>
      </c>
      <c r="E349" s="49">
        <f>Source!AQ90</f>
        <v>3.97</v>
      </c>
      <c r="F349" s="50"/>
      <c r="G349" s="51" t="str">
        <f>Source!DI90</f>
        <v>)*1,15</v>
      </c>
      <c r="H349" s="49">
        <f>Source!AV90</f>
        <v>1.0469999999999999</v>
      </c>
      <c r="I349" s="49"/>
      <c r="J349" s="52"/>
      <c r="K349" s="52">
        <f>Source!U90</f>
        <v>8.1261334499999993</v>
      </c>
    </row>
    <row r="350" spans="1:22" ht="15" x14ac:dyDescent="0.25">
      <c r="A350" s="53"/>
      <c r="B350" s="53"/>
      <c r="C350" s="54" t="s">
        <v>685</v>
      </c>
      <c r="D350" s="53"/>
      <c r="E350" s="53"/>
      <c r="F350" s="53"/>
      <c r="G350" s="53"/>
      <c r="H350" s="53"/>
      <c r="I350" s="55">
        <f>J341+J342+J344+J346+J347+J348+SUM(J345:J345)</f>
        <v>10959.28</v>
      </c>
      <c r="J350" s="55"/>
      <c r="K350" s="56">
        <f>IF(Source!I90&lt;&gt;0, ROUND(I350/Source!I90, 2), 0)</f>
        <v>6446.64</v>
      </c>
      <c r="P350" s="43">
        <f>J341+J342+J344+J346+J347+J348+SUM(J345:J345)</f>
        <v>10959.28</v>
      </c>
    </row>
    <row r="352" spans="1:22" ht="28.5" x14ac:dyDescent="0.2">
      <c r="A352" s="34" t="str">
        <f>Source!E92</f>
        <v>25</v>
      </c>
      <c r="B352" s="35" t="str">
        <f>Source!F92</f>
        <v>3.15-143-5</v>
      </c>
      <c r="C352" s="35" t="s">
        <v>316</v>
      </c>
      <c r="D352" s="36" t="str">
        <f>Source!H92</f>
        <v>100 м2 откосов</v>
      </c>
      <c r="E352" s="28">
        <f>Source!I92</f>
        <v>0.1734</v>
      </c>
      <c r="F352" s="38"/>
      <c r="G352" s="37"/>
      <c r="H352" s="28"/>
      <c r="I352" s="28"/>
      <c r="J352" s="39"/>
      <c r="K352" s="39"/>
      <c r="Q352">
        <f>ROUND((Source!DN92/100)*ROUND((Source!AF92*Source!AV92)*Source!I92, 2), 2)</f>
        <v>652.22</v>
      </c>
      <c r="R352">
        <f>Source!X92</f>
        <v>10777.3</v>
      </c>
      <c r="S352">
        <f>ROUND((Source!DO92/100)*ROUND((Source!AF92*Source!AV92)*Source!I92, 2), 2)</f>
        <v>417.42</v>
      </c>
      <c r="T352">
        <f>Source!Y92</f>
        <v>5455.18</v>
      </c>
      <c r="U352">
        <f>ROUND((175/100)*ROUND((Source!AE92*Source!AV92)*Source!I92, 2), 2)</f>
        <v>1.86</v>
      </c>
      <c r="V352">
        <f>ROUND((157/100)*ROUND(Source!CS92*Source!I92, 2), 2)</f>
        <v>33.94</v>
      </c>
    </row>
    <row r="353" spans="1:22" x14ac:dyDescent="0.2">
      <c r="C353" s="40" t="str">
        <f>"Объем: "&amp;Source!I92&amp;"="&amp;Source!I86&amp;"*"&amp;"0,2"</f>
        <v>Объем: 0,1734=0,867*0,2</v>
      </c>
    </row>
    <row r="354" spans="1:22" ht="14.25" x14ac:dyDescent="0.2">
      <c r="A354" s="34"/>
      <c r="B354" s="35"/>
      <c r="C354" s="35" t="s">
        <v>675</v>
      </c>
      <c r="D354" s="36"/>
      <c r="E354" s="28"/>
      <c r="F354" s="38">
        <f>Source!AO92</f>
        <v>3123.93</v>
      </c>
      <c r="G354" s="37" t="str">
        <f>Source!DG92</f>
        <v>)*1,15</v>
      </c>
      <c r="H354" s="28">
        <f>Source!AV92</f>
        <v>1.0469999999999999</v>
      </c>
      <c r="I354" s="28">
        <f>IF(Source!BA92&lt;&gt; 0, Source!BA92, 1)</f>
        <v>20.399999999999999</v>
      </c>
      <c r="J354" s="39">
        <f>Source!S92</f>
        <v>13305.31</v>
      </c>
      <c r="K354" s="39"/>
    </row>
    <row r="355" spans="1:22" ht="14.25" x14ac:dyDescent="0.2">
      <c r="A355" s="34"/>
      <c r="B355" s="35"/>
      <c r="C355" s="35" t="s">
        <v>676</v>
      </c>
      <c r="D355" s="36"/>
      <c r="E355" s="28"/>
      <c r="F355" s="38">
        <f>Source!AM92</f>
        <v>107.42</v>
      </c>
      <c r="G355" s="37" t="str">
        <f>Source!DE92</f>
        <v>)*1,25</v>
      </c>
      <c r="H355" s="28">
        <f>Source!AV92</f>
        <v>1.0469999999999999</v>
      </c>
      <c r="I355" s="28">
        <f>IF(Source!BB92&lt;&gt; 0, Source!BB92, 1)</f>
        <v>9.5500000000000007</v>
      </c>
      <c r="J355" s="39">
        <f>Source!Q92</f>
        <v>232.81</v>
      </c>
      <c r="K355" s="39"/>
    </row>
    <row r="356" spans="1:22" ht="14.25" x14ac:dyDescent="0.2">
      <c r="A356" s="34"/>
      <c r="B356" s="35"/>
      <c r="C356" s="35" t="s">
        <v>677</v>
      </c>
      <c r="D356" s="36"/>
      <c r="E356" s="28"/>
      <c r="F356" s="38">
        <f>Source!AN92</f>
        <v>4.67</v>
      </c>
      <c r="G356" s="37" t="str">
        <f>Source!DF92</f>
        <v>)*1,25</v>
      </c>
      <c r="H356" s="28">
        <f>Source!AV92</f>
        <v>1.0469999999999999</v>
      </c>
      <c r="I356" s="28">
        <f>IF(Source!BS92&lt;&gt; 0, Source!BS92, 1)</f>
        <v>20.399999999999999</v>
      </c>
      <c r="J356" s="41">
        <f>Source!R92</f>
        <v>21.62</v>
      </c>
      <c r="K356" s="39"/>
    </row>
    <row r="357" spans="1:22" ht="14.25" x14ac:dyDescent="0.2">
      <c r="A357" s="34"/>
      <c r="B357" s="35"/>
      <c r="C357" s="35" t="s">
        <v>678</v>
      </c>
      <c r="D357" s="36"/>
      <c r="E357" s="28"/>
      <c r="F357" s="38">
        <f>Source!AL92</f>
        <v>13710.4</v>
      </c>
      <c r="G357" s="37" t="str">
        <f>Source!DD92</f>
        <v/>
      </c>
      <c r="H357" s="28">
        <f>Source!AW92</f>
        <v>1.0029999999999999</v>
      </c>
      <c r="I357" s="28">
        <f>IF(Source!BC92&lt;&gt; 0, Source!BC92, 1)</f>
        <v>5.81</v>
      </c>
      <c r="J357" s="39">
        <f>Source!P92</f>
        <v>13854.04</v>
      </c>
      <c r="K357" s="39"/>
    </row>
    <row r="358" spans="1:22" ht="42.75" x14ac:dyDescent="0.2">
      <c r="A358" s="34" t="str">
        <f>Source!E93</f>
        <v>25,1</v>
      </c>
      <c r="B358" s="35" t="str">
        <f>Source!F93</f>
        <v>1.9-12-124</v>
      </c>
      <c r="C358" s="35" t="s">
        <v>323</v>
      </c>
      <c r="D358" s="36" t="str">
        <f>Source!H93</f>
        <v>м</v>
      </c>
      <c r="E358" s="28">
        <f>Source!I93</f>
        <v>86.7</v>
      </c>
      <c r="F358" s="38">
        <f>Source!AK93</f>
        <v>37.58</v>
      </c>
      <c r="G358" s="42" t="s">
        <v>3</v>
      </c>
      <c r="H358" s="28">
        <f>Source!AW93</f>
        <v>1.0029999999999999</v>
      </c>
      <c r="I358" s="28">
        <f>IF(Source!BC93&lt;&gt; 0, Source!BC93, 1)</f>
        <v>5.13</v>
      </c>
      <c r="J358" s="39">
        <f>Source!O93</f>
        <v>16764.64</v>
      </c>
      <c r="K358" s="39"/>
      <c r="Q358">
        <f>ROUND((Source!DN93/100)*ROUND((Source!AF93*Source!AV93)*Source!I93, 2), 2)</f>
        <v>0</v>
      </c>
      <c r="R358">
        <f>Source!X93</f>
        <v>0</v>
      </c>
      <c r="S358">
        <f>ROUND((Source!DO93/100)*ROUND((Source!AF93*Source!AV93)*Source!I93, 2), 2)</f>
        <v>0</v>
      </c>
      <c r="T358">
        <f>Source!Y93</f>
        <v>0</v>
      </c>
      <c r="U358">
        <f>ROUND((175/100)*ROUND((Source!AE93*Source!AV93)*Source!I93, 2), 2)</f>
        <v>0</v>
      </c>
      <c r="V358">
        <f>ROUND((157/100)*ROUND(Source!CS93*Source!I93, 2), 2)</f>
        <v>0</v>
      </c>
    </row>
    <row r="359" spans="1:22" ht="14.25" x14ac:dyDescent="0.2">
      <c r="A359" s="34"/>
      <c r="B359" s="35"/>
      <c r="C359" s="35" t="s">
        <v>679</v>
      </c>
      <c r="D359" s="36" t="s">
        <v>680</v>
      </c>
      <c r="E359" s="28">
        <f>Source!BZ92</f>
        <v>81</v>
      </c>
      <c r="F359" s="38"/>
      <c r="G359" s="37"/>
      <c r="H359" s="28"/>
      <c r="I359" s="28"/>
      <c r="J359" s="39">
        <f>SUM(R352:R358)</f>
        <v>10777.3</v>
      </c>
      <c r="K359" s="39"/>
    </row>
    <row r="360" spans="1:22" ht="14.25" x14ac:dyDescent="0.2">
      <c r="A360" s="34"/>
      <c r="B360" s="35"/>
      <c r="C360" s="35" t="s">
        <v>681</v>
      </c>
      <c r="D360" s="36" t="s">
        <v>680</v>
      </c>
      <c r="E360" s="28">
        <f>Source!CA92</f>
        <v>41</v>
      </c>
      <c r="F360" s="38"/>
      <c r="G360" s="37"/>
      <c r="H360" s="28"/>
      <c r="I360" s="28"/>
      <c r="J360" s="39">
        <f>SUM(T352:T359)</f>
        <v>5455.18</v>
      </c>
      <c r="K360" s="39"/>
    </row>
    <row r="361" spans="1:22" ht="14.25" x14ac:dyDescent="0.2">
      <c r="A361" s="34"/>
      <c r="B361" s="35"/>
      <c r="C361" s="35" t="s">
        <v>682</v>
      </c>
      <c r="D361" s="36" t="s">
        <v>680</v>
      </c>
      <c r="E361" s="28">
        <f>157</f>
        <v>157</v>
      </c>
      <c r="F361" s="38"/>
      <c r="G361" s="37"/>
      <c r="H361" s="28"/>
      <c r="I361" s="28"/>
      <c r="J361" s="39">
        <f>SUM(V352:V360)</f>
        <v>33.94</v>
      </c>
      <c r="K361" s="39"/>
    </row>
    <row r="362" spans="1:22" ht="14.25" x14ac:dyDescent="0.2">
      <c r="A362" s="46"/>
      <c r="B362" s="47"/>
      <c r="C362" s="47" t="s">
        <v>683</v>
      </c>
      <c r="D362" s="48" t="s">
        <v>684</v>
      </c>
      <c r="E362" s="49">
        <f>Source!AQ92</f>
        <v>257.04000000000002</v>
      </c>
      <c r="F362" s="50"/>
      <c r="G362" s="51" t="str">
        <f>Source!DI92</f>
        <v>)*1,15</v>
      </c>
      <c r="H362" s="49">
        <f>Source!AV92</f>
        <v>1.0469999999999999</v>
      </c>
      <c r="I362" s="49"/>
      <c r="J362" s="52"/>
      <c r="K362" s="52">
        <f>Source!U92</f>
        <v>53.665394680799999</v>
      </c>
    </row>
    <row r="363" spans="1:22" ht="15" x14ac:dyDescent="0.25">
      <c r="A363" s="53"/>
      <c r="B363" s="53"/>
      <c r="C363" s="54" t="s">
        <v>685</v>
      </c>
      <c r="D363" s="53"/>
      <c r="E363" s="53"/>
      <c r="F363" s="53"/>
      <c r="G363" s="53"/>
      <c r="H363" s="53"/>
      <c r="I363" s="55">
        <f>J354+J355+J357+J359+J360+J361+SUM(J358:J358)</f>
        <v>60423.22</v>
      </c>
      <c r="J363" s="55"/>
      <c r="K363" s="56">
        <f>IF(Source!I92&lt;&gt;0, ROUND(I363/Source!I92, 2), 0)</f>
        <v>348461.48</v>
      </c>
      <c r="P363" s="43">
        <f>J354+J355+J357+J359+J360+J361+SUM(J358:J358)</f>
        <v>60423.22</v>
      </c>
    </row>
    <row r="366" spans="1:22" ht="15" x14ac:dyDescent="0.25">
      <c r="A366" s="57" t="str">
        <f>CONCATENATE("Итого по локальной смете: ",IF(Source!G95&lt;&gt;"Новая локальная смета", Source!G95, ""))</f>
        <v>Итого по локальной смете: Отделка помещения</v>
      </c>
      <c r="B366" s="57"/>
      <c r="C366" s="57"/>
      <c r="D366" s="57"/>
      <c r="E366" s="57"/>
      <c r="F366" s="57"/>
      <c r="G366" s="57"/>
      <c r="H366" s="57"/>
      <c r="I366" s="45">
        <f>SUM(P31:P365)</f>
        <v>3722525.1599999997</v>
      </c>
      <c r="J366" s="19"/>
      <c r="K366" s="20"/>
    </row>
    <row r="367" spans="1:22" hidden="1" x14ac:dyDescent="0.2">
      <c r="A367" t="s">
        <v>687</v>
      </c>
      <c r="I367">
        <f>SUM(AD31:AD366)</f>
        <v>0</v>
      </c>
    </row>
    <row r="368" spans="1:22" hidden="1" x14ac:dyDescent="0.2">
      <c r="A368" t="s">
        <v>688</v>
      </c>
      <c r="I368">
        <f>SUM(AF31:AF367)</f>
        <v>0</v>
      </c>
    </row>
    <row r="370" spans="1:11" ht="15" x14ac:dyDescent="0.25">
      <c r="A370" s="57" t="str">
        <f>CONCATENATE("Итого по смете: ",IF(Source!G124&lt;&gt;"Новый объект", Source!G124, ""))</f>
        <v>Итого по смете: Отделка</v>
      </c>
      <c r="B370" s="57"/>
      <c r="C370" s="57"/>
      <c r="D370" s="57"/>
      <c r="E370" s="57"/>
      <c r="F370" s="57"/>
      <c r="G370" s="57"/>
      <c r="H370" s="57"/>
      <c r="I370" s="45">
        <f>SUM(P1:P369)</f>
        <v>3722525.1599999997</v>
      </c>
      <c r="J370" s="19"/>
      <c r="K370" s="20"/>
    </row>
    <row r="371" spans="1:11" hidden="1" x14ac:dyDescent="0.2">
      <c r="A371" t="s">
        <v>687</v>
      </c>
      <c r="I371">
        <f>SUM(AD1:AD370)</f>
        <v>0</v>
      </c>
    </row>
    <row r="372" spans="1:11" hidden="1" x14ac:dyDescent="0.2">
      <c r="A372" t="s">
        <v>688</v>
      </c>
      <c r="I372">
        <f>SUM(AF1:AF371)</f>
        <v>0</v>
      </c>
    </row>
    <row r="373" spans="1:11" ht="14.25" x14ac:dyDescent="0.2">
      <c r="C373" s="58" t="str">
        <f>Source!H152</f>
        <v>Итого</v>
      </c>
      <c r="D373" s="58"/>
      <c r="E373" s="58"/>
      <c r="F373" s="58"/>
      <c r="G373" s="58"/>
      <c r="H373" s="58"/>
      <c r="I373" s="44">
        <f>IF(Source!F152=0, "", Source!F152)</f>
        <v>3722525.16</v>
      </c>
      <c r="J373" s="44"/>
    </row>
    <row r="374" spans="1:11" ht="14.25" x14ac:dyDescent="0.2">
      <c r="C374" s="58" t="str">
        <f>Source!H153</f>
        <v>НДС 20%</v>
      </c>
      <c r="D374" s="58"/>
      <c r="E374" s="58"/>
      <c r="F374" s="58"/>
      <c r="G374" s="58"/>
      <c r="H374" s="58"/>
      <c r="I374" s="44">
        <f>IF(Source!F153=0, "", Source!F153)</f>
        <v>744505.03</v>
      </c>
      <c r="J374" s="44"/>
    </row>
    <row r="375" spans="1:11" ht="14.25" x14ac:dyDescent="0.2">
      <c r="C375" s="58" t="str">
        <f>Source!H154</f>
        <v>ИТОГО с НДС</v>
      </c>
      <c r="D375" s="58"/>
      <c r="E375" s="58"/>
      <c r="F375" s="58"/>
      <c r="G375" s="58"/>
      <c r="H375" s="58"/>
      <c r="I375" s="44">
        <f>IF(Source!F154=0, "", Source!F154)</f>
        <v>4467030.1900000004</v>
      </c>
      <c r="J375" s="44"/>
    </row>
    <row r="378" spans="1:11" ht="14.25" x14ac:dyDescent="0.2">
      <c r="A378" s="59" t="s">
        <v>690</v>
      </c>
      <c r="B378" s="59"/>
      <c r="C378" s="60" t="str">
        <f>IF(Source!AC12&lt;&gt;"", Source!AC12," ")</f>
        <v xml:space="preserve"> </v>
      </c>
      <c r="D378" s="60"/>
      <c r="E378" s="60"/>
      <c r="F378" s="60"/>
      <c r="G378" s="60"/>
      <c r="H378" s="10" t="str">
        <f>IF(Source!AB12&lt;&gt;"", Source!AB12," ")</f>
        <v xml:space="preserve"> </v>
      </c>
      <c r="I378" s="10"/>
      <c r="J378" s="10"/>
      <c r="K378" s="10"/>
    </row>
    <row r="379" spans="1:11" ht="14.25" x14ac:dyDescent="0.2">
      <c r="A379" s="10"/>
      <c r="B379" s="10"/>
      <c r="C379" s="12" t="s">
        <v>691</v>
      </c>
      <c r="D379" s="12"/>
      <c r="E379" s="12"/>
      <c r="F379" s="12"/>
      <c r="G379" s="12"/>
      <c r="H379" s="10"/>
      <c r="I379" s="10"/>
      <c r="J379" s="10"/>
      <c r="K379" s="10"/>
    </row>
    <row r="380" spans="1:11" ht="14.25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4.25" x14ac:dyDescent="0.2">
      <c r="A381" s="59" t="s">
        <v>692</v>
      </c>
      <c r="B381" s="59"/>
      <c r="C381" s="60" t="str">
        <f>IF(Source!AE12&lt;&gt;"", Source!AE12," ")</f>
        <v xml:space="preserve"> </v>
      </c>
      <c r="D381" s="60"/>
      <c r="E381" s="60"/>
      <c r="F381" s="60"/>
      <c r="G381" s="60"/>
      <c r="H381" s="10" t="str">
        <f>IF(Source!AD12&lt;&gt;"", Source!AD12," ")</f>
        <v xml:space="preserve"> </v>
      </c>
      <c r="I381" s="10"/>
      <c r="J381" s="10"/>
      <c r="K381" s="10"/>
    </row>
    <row r="382" spans="1:11" ht="14.25" x14ac:dyDescent="0.2">
      <c r="A382" s="10"/>
      <c r="B382" s="10"/>
      <c r="C382" s="12" t="s">
        <v>691</v>
      </c>
      <c r="D382" s="12"/>
      <c r="E382" s="12"/>
      <c r="F382" s="12"/>
      <c r="G382" s="12"/>
      <c r="H382" s="10"/>
      <c r="I382" s="10"/>
      <c r="J382" s="10"/>
      <c r="K382" s="10"/>
    </row>
  </sheetData>
  <mergeCells count="72">
    <mergeCell ref="A381:B381"/>
    <mergeCell ref="C382:G382"/>
    <mergeCell ref="C374:H374"/>
    <mergeCell ref="I374:J374"/>
    <mergeCell ref="C375:H375"/>
    <mergeCell ref="I375:J375"/>
    <mergeCell ref="A378:B378"/>
    <mergeCell ref="C379:G379"/>
    <mergeCell ref="I366:J366"/>
    <mergeCell ref="A366:H366"/>
    <mergeCell ref="I370:J370"/>
    <mergeCell ref="A370:H370"/>
    <mergeCell ref="C373:H373"/>
    <mergeCell ref="I373:J373"/>
    <mergeCell ref="I298:J298"/>
    <mergeCell ref="I312:J312"/>
    <mergeCell ref="I325:J325"/>
    <mergeCell ref="I337:J337"/>
    <mergeCell ref="I350:J350"/>
    <mergeCell ref="I363:J363"/>
    <mergeCell ref="I215:J215"/>
    <mergeCell ref="I227:J227"/>
    <mergeCell ref="I241:J241"/>
    <mergeCell ref="I253:J253"/>
    <mergeCell ref="I268:J268"/>
    <mergeCell ref="I285:J285"/>
    <mergeCell ref="I136:J136"/>
    <mergeCell ref="I149:J149"/>
    <mergeCell ref="I161:J161"/>
    <mergeCell ref="I175:J175"/>
    <mergeCell ref="I188:J188"/>
    <mergeCell ref="I202:J202"/>
    <mergeCell ref="I61:J61"/>
    <mergeCell ref="I73:J73"/>
    <mergeCell ref="I88:J88"/>
    <mergeCell ref="I97:J97"/>
    <mergeCell ref="I110:J110"/>
    <mergeCell ref="I123:J123"/>
    <mergeCell ref="G26:G28"/>
    <mergeCell ref="H26:H28"/>
    <mergeCell ref="I26:I28"/>
    <mergeCell ref="J26:J28"/>
    <mergeCell ref="A31:K31"/>
    <mergeCell ref="I47:J47"/>
    <mergeCell ref="F20:H20"/>
    <mergeCell ref="I20:J20"/>
    <mergeCell ref="F22:H22"/>
    <mergeCell ref="A25:K25"/>
    <mergeCell ref="A26:A28"/>
    <mergeCell ref="B26:B28"/>
    <mergeCell ref="C26:C28"/>
    <mergeCell ref="D26:D28"/>
    <mergeCell ref="E26:E28"/>
    <mergeCell ref="F26:F28"/>
    <mergeCell ref="F17:H17"/>
    <mergeCell ref="I17:J17"/>
    <mergeCell ref="F18:H18"/>
    <mergeCell ref="I18:J18"/>
    <mergeCell ref="F19:H19"/>
    <mergeCell ref="I19:J19"/>
    <mergeCell ref="F14:H14"/>
    <mergeCell ref="I14:J14"/>
    <mergeCell ref="F15:H15"/>
    <mergeCell ref="I15:J15"/>
    <mergeCell ref="F16:H16"/>
    <mergeCell ref="I16:J16"/>
    <mergeCell ref="A3:K3"/>
    <mergeCell ref="A4:K4"/>
    <mergeCell ref="A6:K6"/>
    <mergeCell ref="A8:K8"/>
    <mergeCell ref="A9:K9"/>
    <mergeCell ref="A11:K11"/>
  </mergeCells>
  <pageMargins left="0.4" right="0.2" top="0.2" bottom="0.4" header="0.2" footer="0.2"/>
  <pageSetup paperSize="9" scale="64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3"/>
  <sheetViews>
    <sheetView zoomScaleNormal="100" workbookViewId="0"/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6" width="11.7109375" customWidth="1"/>
    <col min="7" max="7" width="12.7109375" customWidth="1"/>
    <col min="8" max="8" width="10.7109375" customWidth="1"/>
    <col min="9" max="11" width="12.7109375" customWidth="1"/>
    <col min="15" max="42" width="0" hidden="1" customWidth="1"/>
  </cols>
  <sheetData>
    <row r="1" spans="1:11" x14ac:dyDescent="0.2">
      <c r="A1" s="9" t="str">
        <f>Source!B1</f>
        <v>Smeta.RU Flash  (495) 974-1589</v>
      </c>
    </row>
    <row r="2" spans="1:11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 x14ac:dyDescent="0.2">
      <c r="A3" s="21" t="s">
        <v>693</v>
      </c>
      <c r="B3" s="21"/>
      <c r="C3" s="27" t="str">
        <f>IF(Source!AJ12&lt;&gt;"", Source!AJ12," ")</f>
        <v xml:space="preserve"> </v>
      </c>
      <c r="D3" s="10"/>
      <c r="E3" s="10"/>
      <c r="F3" s="10"/>
      <c r="G3" s="10"/>
      <c r="H3" s="10"/>
      <c r="I3" s="10"/>
      <c r="J3" s="10"/>
      <c r="K3" s="10"/>
    </row>
    <row r="4" spans="1:11" ht="14.25" x14ac:dyDescent="0.2">
      <c r="A4" s="27"/>
      <c r="B4" s="27"/>
      <c r="C4" s="10"/>
      <c r="D4" s="10"/>
      <c r="E4" s="10"/>
      <c r="F4" s="10"/>
      <c r="G4" s="10"/>
      <c r="H4" s="10"/>
      <c r="I4" s="10"/>
      <c r="J4" s="10"/>
      <c r="K4" s="10"/>
    </row>
    <row r="5" spans="1:11" ht="14.25" x14ac:dyDescent="0.2">
      <c r="A5" s="21" t="s">
        <v>694</v>
      </c>
      <c r="B5" s="21"/>
      <c r="C5" s="27" t="str">
        <f>IF(Source!AN12&lt;&gt;"", Source!AN12," ")</f>
        <v xml:space="preserve"> </v>
      </c>
      <c r="D5" s="10"/>
      <c r="E5" s="10"/>
      <c r="F5" s="10"/>
      <c r="G5" s="10"/>
      <c r="H5" s="10"/>
      <c r="I5" s="10"/>
      <c r="J5" s="10"/>
      <c r="K5" s="10"/>
    </row>
    <row r="6" spans="1:11" ht="14.25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8" x14ac:dyDescent="0.25">
      <c r="A7" s="61" t="s">
        <v>695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4.25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 x14ac:dyDescent="0.25">
      <c r="A10" s="21" t="s">
        <v>696</v>
      </c>
      <c r="B10" s="21"/>
      <c r="C10" s="62" t="str">
        <f>IF(Source!F12&lt;&gt;"Новый объект", Source!F12, "")</f>
        <v/>
      </c>
      <c r="D10" s="62"/>
      <c r="E10" s="62"/>
      <c r="F10" s="62"/>
      <c r="G10" s="62"/>
      <c r="H10" s="62"/>
      <c r="I10" s="62"/>
      <c r="J10" s="62"/>
      <c r="K10" s="62"/>
    </row>
    <row r="11" spans="1:11" ht="14.25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x14ac:dyDescent="0.25">
      <c r="A12" s="21" t="s">
        <v>697</v>
      </c>
      <c r="B12" s="21"/>
      <c r="C12" s="63" t="str">
        <f>Source!G12</f>
        <v>Отделка</v>
      </c>
      <c r="D12" s="63"/>
      <c r="E12" s="63"/>
      <c r="F12" s="63"/>
      <c r="G12" s="63"/>
      <c r="H12" s="63"/>
      <c r="I12" s="63"/>
      <c r="J12" s="63"/>
      <c r="K12" s="63"/>
    </row>
    <row r="13" spans="1:11" ht="14.25" x14ac:dyDescent="0.2">
      <c r="A13" s="10"/>
      <c r="B13" s="10"/>
      <c r="C13" s="64" t="s">
        <v>698</v>
      </c>
      <c r="D13" s="64"/>
      <c r="E13" s="64"/>
      <c r="F13" s="64"/>
      <c r="G13" s="64"/>
      <c r="H13" s="64"/>
      <c r="I13" s="64"/>
      <c r="J13" s="64"/>
      <c r="K13" s="64"/>
    </row>
    <row r="14" spans="1:11" ht="14.2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25" x14ac:dyDescent="0.2">
      <c r="A15" s="10" t="s">
        <v>673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25" x14ac:dyDescent="0.2">
      <c r="A16" s="17" t="s">
        <v>674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22" ht="14.25" x14ac:dyDescent="0.2">
      <c r="A17" s="29" t="s">
        <v>659</v>
      </c>
      <c r="B17" s="29" t="s">
        <v>660</v>
      </c>
      <c r="C17" s="29" t="s">
        <v>661</v>
      </c>
      <c r="D17" s="29" t="s">
        <v>662</v>
      </c>
      <c r="E17" s="29" t="s">
        <v>663</v>
      </c>
      <c r="F17" s="29" t="s">
        <v>664</v>
      </c>
      <c r="G17" s="29" t="s">
        <v>665</v>
      </c>
      <c r="H17" s="29" t="s">
        <v>666</v>
      </c>
      <c r="I17" s="29" t="s">
        <v>667</v>
      </c>
      <c r="J17" s="29" t="s">
        <v>668</v>
      </c>
      <c r="K17" s="30" t="s">
        <v>669</v>
      </c>
    </row>
    <row r="18" spans="1:22" ht="28.5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2" t="s">
        <v>670</v>
      </c>
    </row>
    <row r="19" spans="1:22" ht="28.5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2" t="s">
        <v>671</v>
      </c>
    </row>
    <row r="20" spans="1:22" ht="14.25" x14ac:dyDescent="0.2">
      <c r="A20" s="32">
        <v>1</v>
      </c>
      <c r="B20" s="32">
        <v>2</v>
      </c>
      <c r="C20" s="32">
        <v>3</v>
      </c>
      <c r="D20" s="32">
        <v>4</v>
      </c>
      <c r="E20" s="32">
        <v>5</v>
      </c>
      <c r="F20" s="32">
        <v>6</v>
      </c>
      <c r="G20" s="32">
        <v>7</v>
      </c>
      <c r="H20" s="32">
        <v>8</v>
      </c>
      <c r="I20" s="32">
        <v>9</v>
      </c>
      <c r="J20" s="32">
        <v>10</v>
      </c>
      <c r="K20" s="32">
        <v>11</v>
      </c>
    </row>
    <row r="22" spans="1:22" ht="16.5" x14ac:dyDescent="0.25">
      <c r="A22" s="33" t="str">
        <f>CONCATENATE("Локальная смета: ",IF(Source!G20&lt;&gt;"Новая локальная смета", Source!G20, ""))</f>
        <v>Локальная смета: Отделка помещения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22" ht="114" x14ac:dyDescent="0.2">
      <c r="A23" s="34" t="str">
        <f>Source!E24</f>
        <v>1</v>
      </c>
      <c r="B23" s="35" t="str">
        <f>Source!F24</f>
        <v>3.10-96-1</v>
      </c>
      <c r="C23" s="35" t="s">
        <v>13</v>
      </c>
      <c r="D23" s="36" t="str">
        <f>Source!H24</f>
        <v>100 м2</v>
      </c>
      <c r="E23" s="28">
        <f>Source!I24</f>
        <v>8.3550000000000004</v>
      </c>
      <c r="F23" s="38"/>
      <c r="G23" s="37"/>
      <c r="H23" s="28"/>
      <c r="I23" s="28"/>
      <c r="J23" s="39"/>
      <c r="K23" s="39"/>
      <c r="Q23">
        <f>ROUND((Source!DN24/100)*ROUND((Source!AF24*Source!AV24)*Source!I24, 2), 2)</f>
        <v>8555.57</v>
      </c>
      <c r="R23">
        <f>Source!X24</f>
        <v>140010.46</v>
      </c>
      <c r="S23">
        <f>ROUND((Source!DO24/100)*ROUND((Source!AF24*Source!AV24)*Source!I24, 2), 2)</f>
        <v>6581.2</v>
      </c>
      <c r="T23">
        <f>Source!Y24</f>
        <v>78636.009999999995</v>
      </c>
      <c r="U23">
        <f>ROUND((175/100)*ROUND((Source!AE24*Source!AV24)*Source!I24, 2), 2)</f>
        <v>172.03</v>
      </c>
      <c r="V23">
        <f>ROUND((157/100)*ROUND(Source!CS24*Source!I24, 2), 2)</f>
        <v>3148.42</v>
      </c>
    </row>
    <row r="24" spans="1:22" x14ac:dyDescent="0.2">
      <c r="C24" s="40" t="str">
        <f>"Объем: "&amp;Source!I24&amp;"=835,5/"&amp;"100"</f>
        <v>Объем: 8,355=835,5/100</v>
      </c>
    </row>
    <row r="25" spans="1:22" ht="14.25" x14ac:dyDescent="0.2">
      <c r="A25" s="34"/>
      <c r="B25" s="35"/>
      <c r="C25" s="35" t="s">
        <v>675</v>
      </c>
      <c r="D25" s="36"/>
      <c r="E25" s="28"/>
      <c r="F25" s="38">
        <f>Source!AO24</f>
        <v>934.58</v>
      </c>
      <c r="G25" s="37" t="str">
        <f>Source!DG24</f>
        <v>)*1,15</v>
      </c>
      <c r="H25" s="28">
        <f>Source!AV24</f>
        <v>1.0469999999999999</v>
      </c>
      <c r="I25" s="28">
        <f>IF(Source!BA24&lt;&gt; 0, Source!BA24, 1)</f>
        <v>20.399999999999999</v>
      </c>
      <c r="J25" s="39">
        <f>Source!S24</f>
        <v>191795.15</v>
      </c>
      <c r="K25" s="39"/>
    </row>
    <row r="26" spans="1:22" ht="14.25" x14ac:dyDescent="0.2">
      <c r="A26" s="34"/>
      <c r="B26" s="35"/>
      <c r="C26" s="35" t="s">
        <v>676</v>
      </c>
      <c r="D26" s="36"/>
      <c r="E26" s="28"/>
      <c r="F26" s="38">
        <f>Source!AM24</f>
        <v>38.58</v>
      </c>
      <c r="G26" s="37" t="str">
        <f>Source!DE24</f>
        <v>)*1,25</v>
      </c>
      <c r="H26" s="28">
        <f>Source!AV24</f>
        <v>1.0469999999999999</v>
      </c>
      <c r="I26" s="28">
        <f>IF(Source!BB24&lt;&gt; 0, Source!BB24, 1)</f>
        <v>8.3699999999999992</v>
      </c>
      <c r="J26" s="39">
        <f>Source!Q24</f>
        <v>3530.94</v>
      </c>
      <c r="K26" s="39"/>
    </row>
    <row r="27" spans="1:22" ht="14.25" x14ac:dyDescent="0.2">
      <c r="A27" s="34"/>
      <c r="B27" s="35"/>
      <c r="C27" s="35" t="s">
        <v>677</v>
      </c>
      <c r="D27" s="36"/>
      <c r="E27" s="28"/>
      <c r="F27" s="38">
        <f>Source!AN24</f>
        <v>8.99</v>
      </c>
      <c r="G27" s="37" t="str">
        <f>Source!DF24</f>
        <v>)*1,25</v>
      </c>
      <c r="H27" s="28">
        <f>Source!AV24</f>
        <v>1.0469999999999999</v>
      </c>
      <c r="I27" s="28">
        <f>IF(Source!BS24&lt;&gt; 0, Source!BS24, 1)</f>
        <v>20.399999999999999</v>
      </c>
      <c r="J27" s="41">
        <f>Source!R24</f>
        <v>2005.36</v>
      </c>
      <c r="K27" s="39"/>
    </row>
    <row r="28" spans="1:22" ht="14.25" x14ac:dyDescent="0.2">
      <c r="A28" s="34"/>
      <c r="B28" s="35"/>
      <c r="C28" s="35" t="s">
        <v>678</v>
      </c>
      <c r="D28" s="36"/>
      <c r="E28" s="28"/>
      <c r="F28" s="38">
        <f>Source!AL24</f>
        <v>1830.27</v>
      </c>
      <c r="G28" s="37" t="str">
        <f>Source!DD24</f>
        <v/>
      </c>
      <c r="H28" s="28">
        <f>Source!AW24</f>
        <v>1</v>
      </c>
      <c r="I28" s="28">
        <f>IF(Source!BC24&lt;&gt; 0, Source!BC24, 1)</f>
        <v>2.61</v>
      </c>
      <c r="J28" s="39">
        <f>Source!P24</f>
        <v>39911.870000000003</v>
      </c>
      <c r="K28" s="39"/>
    </row>
    <row r="29" spans="1:22" ht="57" x14ac:dyDescent="0.2">
      <c r="A29" s="34" t="str">
        <f>Source!E25</f>
        <v>1,1</v>
      </c>
      <c r="B29" s="35" t="str">
        <f>Source!F25</f>
        <v>1.1-1-3720</v>
      </c>
      <c r="C29" s="35" t="s">
        <v>25</v>
      </c>
      <c r="D29" s="36" t="str">
        <f>Source!H25</f>
        <v>м</v>
      </c>
      <c r="E29" s="28">
        <f>Source!I25</f>
        <v>969.18</v>
      </c>
      <c r="F29" s="38">
        <f>Source!AK25</f>
        <v>1</v>
      </c>
      <c r="G29" s="42" t="s">
        <v>3</v>
      </c>
      <c r="H29" s="28">
        <f>Source!AW25</f>
        <v>1</v>
      </c>
      <c r="I29" s="28">
        <f>IF(Source!BC25&lt;&gt; 0, Source!BC25, 1)</f>
        <v>4.76</v>
      </c>
      <c r="J29" s="39">
        <f>Source!O25</f>
        <v>4613.3</v>
      </c>
      <c r="K29" s="39"/>
      <c r="Q29">
        <f>ROUND((Source!DN25/100)*ROUND((Source!AF25*Source!AV25)*Source!I25, 2), 2)</f>
        <v>0</v>
      </c>
      <c r="R29">
        <f>Source!X25</f>
        <v>0</v>
      </c>
      <c r="S29">
        <f>ROUND((Source!DO25/100)*ROUND((Source!AF25*Source!AV25)*Source!I25, 2), 2)</f>
        <v>0</v>
      </c>
      <c r="T29">
        <f>Source!Y25</f>
        <v>0</v>
      </c>
      <c r="U29">
        <f>ROUND((175/100)*ROUND((Source!AE25*Source!AV25)*Source!I25, 2), 2)</f>
        <v>0</v>
      </c>
      <c r="V29">
        <f>ROUND((157/100)*ROUND(Source!CS25*Source!I25, 2), 2)</f>
        <v>0</v>
      </c>
    </row>
    <row r="30" spans="1:22" ht="57" x14ac:dyDescent="0.2">
      <c r="A30" s="34" t="str">
        <f>Source!E26</f>
        <v>1,2</v>
      </c>
      <c r="B30" s="35" t="str">
        <f>Source!F26</f>
        <v>1.7-4-27</v>
      </c>
      <c r="C30" s="35" t="s">
        <v>30</v>
      </c>
      <c r="D30" s="36" t="str">
        <f>Source!H26</f>
        <v>м</v>
      </c>
      <c r="E30" s="28">
        <f>Source!I26</f>
        <v>1010.955</v>
      </c>
      <c r="F30" s="38">
        <f>Source!AK26</f>
        <v>23.58</v>
      </c>
      <c r="G30" s="42" t="s">
        <v>3</v>
      </c>
      <c r="H30" s="28">
        <f>Source!AW26</f>
        <v>1</v>
      </c>
      <c r="I30" s="28">
        <f>IF(Source!BC26&lt;&gt; 0, Source!BC26, 1)</f>
        <v>2.12</v>
      </c>
      <c r="J30" s="39">
        <f>Source!O26</f>
        <v>50537.24</v>
      </c>
      <c r="K30" s="39"/>
      <c r="Q30">
        <f>ROUND((Source!DN26/100)*ROUND((Source!AF26*Source!AV26)*Source!I26, 2), 2)</f>
        <v>0</v>
      </c>
      <c r="R30">
        <f>Source!X26</f>
        <v>0</v>
      </c>
      <c r="S30">
        <f>ROUND((Source!DO26/100)*ROUND((Source!AF26*Source!AV26)*Source!I26, 2), 2)</f>
        <v>0</v>
      </c>
      <c r="T30">
        <f>Source!Y26</f>
        <v>0</v>
      </c>
      <c r="U30">
        <f>ROUND((175/100)*ROUND((Source!AE26*Source!AV26)*Source!I26, 2), 2)</f>
        <v>0</v>
      </c>
      <c r="V30">
        <f>ROUND((157/100)*ROUND(Source!CS26*Source!I26, 2), 2)</f>
        <v>0</v>
      </c>
    </row>
    <row r="31" spans="1:22" ht="57" x14ac:dyDescent="0.2">
      <c r="A31" s="34" t="str">
        <f>Source!E27</f>
        <v>1,3</v>
      </c>
      <c r="B31" s="35" t="str">
        <f>Source!F27</f>
        <v>1.7-4-27</v>
      </c>
      <c r="C31" s="35" t="s">
        <v>30</v>
      </c>
      <c r="D31" s="36" t="str">
        <f>Source!H27</f>
        <v>м</v>
      </c>
      <c r="E31" s="28">
        <f>Source!I27</f>
        <v>1879.875</v>
      </c>
      <c r="F31" s="38">
        <f>Source!AK27</f>
        <v>23.58</v>
      </c>
      <c r="G31" s="42" t="s">
        <v>3</v>
      </c>
      <c r="H31" s="28">
        <f>Source!AW27</f>
        <v>1</v>
      </c>
      <c r="I31" s="28">
        <f>IF(Source!BC27&lt;&gt; 0, Source!BC27, 1)</f>
        <v>2.12</v>
      </c>
      <c r="J31" s="39">
        <f>Source!O27</f>
        <v>93974.2</v>
      </c>
      <c r="K31" s="39"/>
      <c r="Q31">
        <f>ROUND((Source!DN27/100)*ROUND((Source!AF27*Source!AV27)*Source!I27, 2), 2)</f>
        <v>0</v>
      </c>
      <c r="R31">
        <f>Source!X27</f>
        <v>0</v>
      </c>
      <c r="S31">
        <f>ROUND((Source!DO27/100)*ROUND((Source!AF27*Source!AV27)*Source!I27, 2), 2)</f>
        <v>0</v>
      </c>
      <c r="T31">
        <f>Source!Y27</f>
        <v>0</v>
      </c>
      <c r="U31">
        <f>ROUND((175/100)*ROUND((Source!AE27*Source!AV27)*Source!I27, 2), 2)</f>
        <v>0</v>
      </c>
      <c r="V31">
        <f>ROUND((157/100)*ROUND(Source!CS27*Source!I27, 2), 2)</f>
        <v>0</v>
      </c>
    </row>
    <row r="32" spans="1:22" ht="28.5" x14ac:dyDescent="0.2">
      <c r="A32" s="34" t="str">
        <f>Source!E28</f>
        <v>1,4</v>
      </c>
      <c r="B32" s="35" t="str">
        <f>Source!F28</f>
        <v>1.1-1-569</v>
      </c>
      <c r="C32" s="35" t="s">
        <v>35</v>
      </c>
      <c r="D32" s="36" t="str">
        <f>Source!H28</f>
        <v>м2</v>
      </c>
      <c r="E32" s="28">
        <f>Source!I28</f>
        <v>893.98500000000001</v>
      </c>
      <c r="F32" s="38">
        <f>Source!AK28</f>
        <v>41.26</v>
      </c>
      <c r="G32" s="42" t="s">
        <v>3</v>
      </c>
      <c r="H32" s="28">
        <f>Source!AW28</f>
        <v>1</v>
      </c>
      <c r="I32" s="28">
        <f>IF(Source!BC28&lt;&gt; 0, Source!BC28, 1)</f>
        <v>1.69</v>
      </c>
      <c r="J32" s="39">
        <f>Source!O28</f>
        <v>62337.04</v>
      </c>
      <c r="K32" s="39"/>
      <c r="Q32">
        <f>ROUND((Source!DN28/100)*ROUND((Source!AF28*Source!AV28)*Source!I28, 2), 2)</f>
        <v>0</v>
      </c>
      <c r="R32">
        <f>Source!X28</f>
        <v>0</v>
      </c>
      <c r="S32">
        <f>ROUND((Source!DO28/100)*ROUND((Source!AF28*Source!AV28)*Source!I28, 2), 2)</f>
        <v>0</v>
      </c>
      <c r="T32">
        <f>Source!Y28</f>
        <v>0</v>
      </c>
      <c r="U32">
        <f>ROUND((175/100)*ROUND((Source!AE28*Source!AV28)*Source!I28, 2), 2)</f>
        <v>0</v>
      </c>
      <c r="V32">
        <f>ROUND((157/100)*ROUND(Source!CS28*Source!I28, 2), 2)</f>
        <v>0</v>
      </c>
    </row>
    <row r="33" spans="1:22" ht="42.75" x14ac:dyDescent="0.2">
      <c r="A33" s="34" t="str">
        <f>Source!E29</f>
        <v>1,5</v>
      </c>
      <c r="B33" s="35" t="str">
        <f>Source!F29</f>
        <v>1.1-1-3717</v>
      </c>
      <c r="C33" s="35" t="s">
        <v>40</v>
      </c>
      <c r="D33" s="36" t="str">
        <f>Source!H29</f>
        <v>м</v>
      </c>
      <c r="E33" s="28">
        <f>Source!I29</f>
        <v>584.85</v>
      </c>
      <c r="F33" s="38">
        <f>Source!AK29</f>
        <v>0.89</v>
      </c>
      <c r="G33" s="42" t="s">
        <v>3</v>
      </c>
      <c r="H33" s="28">
        <f>Source!AW29</f>
        <v>1</v>
      </c>
      <c r="I33" s="28">
        <f>IF(Source!BC29&lt;&gt; 0, Source!BC29, 1)</f>
        <v>2.78</v>
      </c>
      <c r="J33" s="39">
        <f>Source!O29</f>
        <v>1447.04</v>
      </c>
      <c r="K33" s="39"/>
      <c r="Q33">
        <f>ROUND((Source!DN29/100)*ROUND((Source!AF29*Source!AV29)*Source!I29, 2), 2)</f>
        <v>0</v>
      </c>
      <c r="R33">
        <f>Source!X29</f>
        <v>0</v>
      </c>
      <c r="S33">
        <f>ROUND((Source!DO29/100)*ROUND((Source!AF29*Source!AV29)*Source!I29, 2), 2)</f>
        <v>0</v>
      </c>
      <c r="T33">
        <f>Source!Y29</f>
        <v>0</v>
      </c>
      <c r="U33">
        <f>ROUND((175/100)*ROUND((Source!AE29*Source!AV29)*Source!I29, 2), 2)</f>
        <v>0</v>
      </c>
      <c r="V33">
        <f>ROUND((157/100)*ROUND(Source!CS29*Source!I29, 2), 2)</f>
        <v>0</v>
      </c>
    </row>
    <row r="34" spans="1:22" ht="14.25" x14ac:dyDescent="0.2">
      <c r="A34" s="34"/>
      <c r="B34" s="35"/>
      <c r="C34" s="35" t="s">
        <v>679</v>
      </c>
      <c r="D34" s="36" t="s">
        <v>680</v>
      </c>
      <c r="E34" s="28">
        <f>Source!BZ24</f>
        <v>73</v>
      </c>
      <c r="F34" s="38"/>
      <c r="G34" s="37"/>
      <c r="H34" s="28"/>
      <c r="I34" s="28"/>
      <c r="J34" s="39">
        <f>SUM(R23:R33)</f>
        <v>140010.46</v>
      </c>
      <c r="K34" s="39"/>
    </row>
    <row r="35" spans="1:22" ht="14.25" x14ac:dyDescent="0.2">
      <c r="A35" s="34"/>
      <c r="B35" s="35"/>
      <c r="C35" s="35" t="s">
        <v>681</v>
      </c>
      <c r="D35" s="36" t="s">
        <v>680</v>
      </c>
      <c r="E35" s="28">
        <f>Source!CA24</f>
        <v>41</v>
      </c>
      <c r="F35" s="38"/>
      <c r="G35" s="37"/>
      <c r="H35" s="28"/>
      <c r="I35" s="28"/>
      <c r="J35" s="39">
        <f>SUM(T23:T34)</f>
        <v>78636.009999999995</v>
      </c>
      <c r="K35" s="39"/>
    </row>
    <row r="36" spans="1:22" ht="14.25" x14ac:dyDescent="0.2">
      <c r="A36" s="34"/>
      <c r="B36" s="35"/>
      <c r="C36" s="35" t="s">
        <v>682</v>
      </c>
      <c r="D36" s="36" t="s">
        <v>680</v>
      </c>
      <c r="E36" s="28">
        <f>157</f>
        <v>157</v>
      </c>
      <c r="F36" s="38"/>
      <c r="G36" s="37"/>
      <c r="H36" s="28"/>
      <c r="I36" s="28"/>
      <c r="J36" s="39">
        <f>SUM(V23:V35)</f>
        <v>3148.42</v>
      </c>
      <c r="K36" s="39"/>
    </row>
    <row r="37" spans="1:22" ht="14.25" x14ac:dyDescent="0.2">
      <c r="A37" s="46"/>
      <c r="B37" s="47"/>
      <c r="C37" s="47" t="s">
        <v>683</v>
      </c>
      <c r="D37" s="48" t="s">
        <v>684</v>
      </c>
      <c r="E37" s="49">
        <f>Source!AQ24</f>
        <v>78.11</v>
      </c>
      <c r="F37" s="50"/>
      <c r="G37" s="51" t="str">
        <f>Source!DI24</f>
        <v>)*1,15</v>
      </c>
      <c r="H37" s="49">
        <f>Source!AV24</f>
        <v>1.0469999999999999</v>
      </c>
      <c r="I37" s="49"/>
      <c r="J37" s="52"/>
      <c r="K37" s="52">
        <f>Source!U24</f>
        <v>785.77392665249999</v>
      </c>
    </row>
    <row r="38" spans="1:22" ht="15" x14ac:dyDescent="0.25">
      <c r="A38" s="53"/>
      <c r="B38" s="53"/>
      <c r="C38" s="54" t="s">
        <v>685</v>
      </c>
      <c r="D38" s="53"/>
      <c r="E38" s="53"/>
      <c r="F38" s="53"/>
      <c r="G38" s="53"/>
      <c r="H38" s="53"/>
      <c r="I38" s="55">
        <f>J25+J26+J28+J34+J35+J36+SUM(J29:J33)</f>
        <v>669941.66999999993</v>
      </c>
      <c r="J38" s="55"/>
      <c r="K38" s="56">
        <f>IF(Source!I24&lt;&gt;0, ROUND(I38/Source!I24, 2), 0)</f>
        <v>80184.52</v>
      </c>
      <c r="P38" s="43">
        <f>J25+J26+J28+J34+J35+J36+SUM(J29:J33)</f>
        <v>669941.66999999993</v>
      </c>
    </row>
    <row r="40" spans="1:22" ht="42.75" x14ac:dyDescent="0.2">
      <c r="A40" s="34" t="str">
        <f>Source!E30</f>
        <v>2</v>
      </c>
      <c r="B40" s="35" t="str">
        <f>Source!F30</f>
        <v>3.15-167-1</v>
      </c>
      <c r="C40" s="35" t="s">
        <v>44</v>
      </c>
      <c r="D40" s="36" t="str">
        <f>Source!H30</f>
        <v>100 м2</v>
      </c>
      <c r="E40" s="28">
        <f>Source!I30</f>
        <v>8.3550000000000004</v>
      </c>
      <c r="F40" s="38"/>
      <c r="G40" s="37"/>
      <c r="H40" s="28"/>
      <c r="I40" s="28"/>
      <c r="J40" s="39"/>
      <c r="K40" s="39"/>
      <c r="Q40">
        <f>ROUND((Source!DN30/100)*ROUND((Source!AF30*Source!AV30)*Source!I30, 2), 2)</f>
        <v>2745.95</v>
      </c>
      <c r="R40">
        <f>Source!X30</f>
        <v>45374.02</v>
      </c>
      <c r="S40">
        <f>ROUND((Source!DO30/100)*ROUND((Source!AF30*Source!AV30)*Source!I30, 2), 2)</f>
        <v>1757.41</v>
      </c>
      <c r="T40">
        <f>Source!Y30</f>
        <v>22967.1</v>
      </c>
      <c r="U40">
        <f>ROUND((175/100)*ROUND((Source!AE30*Source!AV30)*Source!I30, 2), 2)</f>
        <v>6</v>
      </c>
      <c r="V40">
        <f>ROUND((157/100)*ROUND(Source!CS30*Source!I30, 2), 2)</f>
        <v>109.71</v>
      </c>
    </row>
    <row r="41" spans="1:22" x14ac:dyDescent="0.2">
      <c r="C41" s="40" t="str">
        <f>"Объем: "&amp;Source!I30&amp;"=835,5/"&amp;"100"</f>
        <v>Объем: 8,355=835,5/100</v>
      </c>
    </row>
    <row r="42" spans="1:22" ht="14.25" x14ac:dyDescent="0.2">
      <c r="A42" s="34"/>
      <c r="B42" s="35"/>
      <c r="C42" s="35" t="s">
        <v>675</v>
      </c>
      <c r="D42" s="36"/>
      <c r="E42" s="28"/>
      <c r="F42" s="38">
        <f>Source!AO30</f>
        <v>278.82</v>
      </c>
      <c r="G42" s="37" t="str">
        <f>Source!DG30</f>
        <v>)*1,15</v>
      </c>
      <c r="H42" s="28">
        <f>Source!AV30</f>
        <v>1.0249999999999999</v>
      </c>
      <c r="I42" s="28">
        <f>IF(Source!BA30&lt;&gt; 0, Source!BA30, 1)</f>
        <v>20.399999999999999</v>
      </c>
      <c r="J42" s="39">
        <f>Source!S30</f>
        <v>56017.31</v>
      </c>
      <c r="K42" s="39"/>
    </row>
    <row r="43" spans="1:22" ht="14.25" x14ac:dyDescent="0.2">
      <c r="A43" s="34"/>
      <c r="B43" s="35"/>
      <c r="C43" s="35" t="s">
        <v>676</v>
      </c>
      <c r="D43" s="36"/>
      <c r="E43" s="28"/>
      <c r="F43" s="38">
        <f>Source!AM30</f>
        <v>6.03</v>
      </c>
      <c r="G43" s="37" t="str">
        <f>Source!DE30</f>
        <v>)*1,25</v>
      </c>
      <c r="H43" s="28">
        <f>Source!AV30</f>
        <v>1.0249999999999999</v>
      </c>
      <c r="I43" s="28">
        <f>IF(Source!BB30&lt;&gt; 0, Source!BB30, 1)</f>
        <v>5.87</v>
      </c>
      <c r="J43" s="39">
        <f>Source!Q30</f>
        <v>378.91</v>
      </c>
      <c r="K43" s="39"/>
    </row>
    <row r="44" spans="1:22" ht="14.25" x14ac:dyDescent="0.2">
      <c r="A44" s="34"/>
      <c r="B44" s="35"/>
      <c r="C44" s="35" t="s">
        <v>677</v>
      </c>
      <c r="D44" s="36"/>
      <c r="E44" s="28"/>
      <c r="F44" s="38">
        <f>Source!AN30</f>
        <v>0.32</v>
      </c>
      <c r="G44" s="37" t="str">
        <f>Source!DF30</f>
        <v>)*1,25</v>
      </c>
      <c r="H44" s="28">
        <f>Source!AV30</f>
        <v>1.0249999999999999</v>
      </c>
      <c r="I44" s="28">
        <f>IF(Source!BS30&lt;&gt; 0, Source!BS30, 1)</f>
        <v>20.399999999999999</v>
      </c>
      <c r="J44" s="41">
        <f>Source!R30</f>
        <v>69.88</v>
      </c>
      <c r="K44" s="39"/>
    </row>
    <row r="45" spans="1:22" ht="14.25" x14ac:dyDescent="0.2">
      <c r="A45" s="34"/>
      <c r="B45" s="35"/>
      <c r="C45" s="35" t="s">
        <v>678</v>
      </c>
      <c r="D45" s="36"/>
      <c r="E45" s="28"/>
      <c r="F45" s="38">
        <f>Source!AL30</f>
        <v>262.94</v>
      </c>
      <c r="G45" s="37" t="str">
        <f>Source!DD30</f>
        <v/>
      </c>
      <c r="H45" s="28">
        <f>Source!AW30</f>
        <v>1</v>
      </c>
      <c r="I45" s="28">
        <f>IF(Source!BC30&lt;&gt; 0, Source!BC30, 1)</f>
        <v>1.66</v>
      </c>
      <c r="J45" s="39">
        <f>Source!P30</f>
        <v>3646.79</v>
      </c>
      <c r="K45" s="39"/>
    </row>
    <row r="46" spans="1:22" ht="71.25" x14ac:dyDescent="0.2">
      <c r="A46" s="34" t="str">
        <f>Source!E31</f>
        <v>2,1</v>
      </c>
      <c r="B46" s="35" t="str">
        <f>Source!F31</f>
        <v>1.7-4-25</v>
      </c>
      <c r="C46" s="35" t="s">
        <v>50</v>
      </c>
      <c r="D46" s="36" t="str">
        <f>Source!H31</f>
        <v>м</v>
      </c>
      <c r="E46" s="28">
        <f>Source!I31</f>
        <v>803.00000000000011</v>
      </c>
      <c r="F46" s="38">
        <f>Source!AK31</f>
        <v>4.5</v>
      </c>
      <c r="G46" s="42" t="s">
        <v>3</v>
      </c>
      <c r="H46" s="28">
        <f>Source!AW31</f>
        <v>1</v>
      </c>
      <c r="I46" s="28">
        <f>IF(Source!BC31&lt;&gt; 0, Source!BC31, 1)</f>
        <v>2.88</v>
      </c>
      <c r="J46" s="39">
        <f>Source!O31</f>
        <v>10406.879999999999</v>
      </c>
      <c r="K46" s="39"/>
      <c r="Q46">
        <f>ROUND((Source!DN31/100)*ROUND((Source!AF31*Source!AV31)*Source!I31, 2), 2)</f>
        <v>0</v>
      </c>
      <c r="R46">
        <f>Source!X31</f>
        <v>0</v>
      </c>
      <c r="S46">
        <f>ROUND((Source!DO31/100)*ROUND((Source!AF31*Source!AV31)*Source!I31, 2), 2)</f>
        <v>0</v>
      </c>
      <c r="T46">
        <f>Source!Y31</f>
        <v>0</v>
      </c>
      <c r="U46">
        <f>ROUND((175/100)*ROUND((Source!AE31*Source!AV31)*Source!I31, 2), 2)</f>
        <v>0</v>
      </c>
      <c r="V46">
        <f>ROUND((157/100)*ROUND(Source!CS31*Source!I31, 2), 2)</f>
        <v>0</v>
      </c>
    </row>
    <row r="47" spans="1:22" ht="57" x14ac:dyDescent="0.2">
      <c r="A47" s="34" t="str">
        <f>Source!E32</f>
        <v>2,2</v>
      </c>
      <c r="B47" s="35" t="str">
        <f>Source!F32</f>
        <v>1.3-2-193</v>
      </c>
      <c r="C47" s="35" t="s">
        <v>54</v>
      </c>
      <c r="D47" s="36" t="str">
        <f>Source!H32</f>
        <v>кг</v>
      </c>
      <c r="E47" s="28">
        <f>Source!I32</f>
        <v>650.85450000000003</v>
      </c>
      <c r="F47" s="38">
        <f>Source!AK32</f>
        <v>8.8800000000000008</v>
      </c>
      <c r="G47" s="42" t="s">
        <v>3</v>
      </c>
      <c r="H47" s="28">
        <f>Source!AW32</f>
        <v>1</v>
      </c>
      <c r="I47" s="28">
        <f>IF(Source!BC32&lt;&gt; 0, Source!BC32, 1)</f>
        <v>2.25</v>
      </c>
      <c r="J47" s="39">
        <f>Source!O32</f>
        <v>13004.07</v>
      </c>
      <c r="K47" s="39"/>
      <c r="Q47">
        <f>ROUND((Source!DN32/100)*ROUND((Source!AF32*Source!AV32)*Source!I32, 2), 2)</f>
        <v>0</v>
      </c>
      <c r="R47">
        <f>Source!X32</f>
        <v>0</v>
      </c>
      <c r="S47">
        <f>ROUND((Source!DO32/100)*ROUND((Source!AF32*Source!AV32)*Source!I32, 2), 2)</f>
        <v>0</v>
      </c>
      <c r="T47">
        <f>Source!Y32</f>
        <v>0</v>
      </c>
      <c r="U47">
        <f>ROUND((175/100)*ROUND((Source!AE32*Source!AV32)*Source!I32, 2), 2)</f>
        <v>0</v>
      </c>
      <c r="V47">
        <f>ROUND((157/100)*ROUND(Source!CS32*Source!I32, 2), 2)</f>
        <v>0</v>
      </c>
    </row>
    <row r="48" spans="1:22" ht="14.25" x14ac:dyDescent="0.2">
      <c r="A48" s="34"/>
      <c r="B48" s="35"/>
      <c r="C48" s="35" t="s">
        <v>679</v>
      </c>
      <c r="D48" s="36" t="s">
        <v>680</v>
      </c>
      <c r="E48" s="28">
        <f>Source!BZ30</f>
        <v>81</v>
      </c>
      <c r="F48" s="38"/>
      <c r="G48" s="37"/>
      <c r="H48" s="28"/>
      <c r="I48" s="28"/>
      <c r="J48" s="39">
        <f>SUM(R40:R47)</f>
        <v>45374.02</v>
      </c>
      <c r="K48" s="39"/>
    </row>
    <row r="49" spans="1:22" ht="14.25" x14ac:dyDescent="0.2">
      <c r="A49" s="34"/>
      <c r="B49" s="35"/>
      <c r="C49" s="35" t="s">
        <v>681</v>
      </c>
      <c r="D49" s="36" t="s">
        <v>680</v>
      </c>
      <c r="E49" s="28">
        <f>Source!CA30</f>
        <v>41</v>
      </c>
      <c r="F49" s="38"/>
      <c r="G49" s="37"/>
      <c r="H49" s="28"/>
      <c r="I49" s="28"/>
      <c r="J49" s="39">
        <f>SUM(T40:T48)</f>
        <v>22967.1</v>
      </c>
      <c r="K49" s="39"/>
    </row>
    <row r="50" spans="1:22" ht="14.25" x14ac:dyDescent="0.2">
      <c r="A50" s="34"/>
      <c r="B50" s="35"/>
      <c r="C50" s="35" t="s">
        <v>682</v>
      </c>
      <c r="D50" s="36" t="s">
        <v>680</v>
      </c>
      <c r="E50" s="28">
        <f>157</f>
        <v>157</v>
      </c>
      <c r="F50" s="38"/>
      <c r="G50" s="37"/>
      <c r="H50" s="28"/>
      <c r="I50" s="28"/>
      <c r="J50" s="39">
        <f>SUM(V40:V49)</f>
        <v>109.71</v>
      </c>
      <c r="K50" s="39"/>
    </row>
    <row r="51" spans="1:22" ht="14.25" x14ac:dyDescent="0.2">
      <c r="A51" s="46"/>
      <c r="B51" s="47"/>
      <c r="C51" s="47" t="s">
        <v>683</v>
      </c>
      <c r="D51" s="48" t="s">
        <v>684</v>
      </c>
      <c r="E51" s="49">
        <f>Source!AQ30</f>
        <v>23.72</v>
      </c>
      <c r="F51" s="50"/>
      <c r="G51" s="51" t="str">
        <f>Source!DI30</f>
        <v>)*1,15</v>
      </c>
      <c r="H51" s="49">
        <f>Source!AV30</f>
        <v>1.0249999999999999</v>
      </c>
      <c r="I51" s="49"/>
      <c r="J51" s="52"/>
      <c r="K51" s="52">
        <f>Source!U30</f>
        <v>233.60538224999993</v>
      </c>
    </row>
    <row r="52" spans="1:22" ht="15" x14ac:dyDescent="0.25">
      <c r="A52" s="53"/>
      <c r="B52" s="53"/>
      <c r="C52" s="54" t="s">
        <v>685</v>
      </c>
      <c r="D52" s="53"/>
      <c r="E52" s="53"/>
      <c r="F52" s="53"/>
      <c r="G52" s="53"/>
      <c r="H52" s="53"/>
      <c r="I52" s="55">
        <f>J42+J43+J45+J48+J49+J50+SUM(J46:J47)</f>
        <v>151904.79</v>
      </c>
      <c r="J52" s="55"/>
      <c r="K52" s="56">
        <f>IF(Source!I30&lt;&gt;0, ROUND(I52/Source!I30, 2), 0)</f>
        <v>18181.3</v>
      </c>
      <c r="P52" s="43">
        <f>J42+J43+J45+J48+J49+J50+SUM(J46:J47)</f>
        <v>151904.79</v>
      </c>
    </row>
    <row r="54" spans="1:22" ht="42.75" x14ac:dyDescent="0.2">
      <c r="A54" s="34" t="str">
        <f>Source!E33</f>
        <v>3</v>
      </c>
      <c r="B54" s="35" t="str">
        <f>Source!F33</f>
        <v>3.15-165-1</v>
      </c>
      <c r="C54" s="35" t="s">
        <v>59</v>
      </c>
      <c r="D54" s="36" t="str">
        <f>Source!H33</f>
        <v>100 м2</v>
      </c>
      <c r="E54" s="28">
        <f>Source!I33</f>
        <v>8.3550000000000004</v>
      </c>
      <c r="F54" s="38"/>
      <c r="G54" s="37"/>
      <c r="H54" s="28"/>
      <c r="I54" s="28"/>
      <c r="J54" s="39"/>
      <c r="K54" s="39"/>
      <c r="Q54">
        <f>ROUND((Source!DN33/100)*ROUND((Source!AF33*Source!AV33)*Source!I33, 2), 2)</f>
        <v>511.92</v>
      </c>
      <c r="R54">
        <f>Source!X33</f>
        <v>8459.01</v>
      </c>
      <c r="S54">
        <f>ROUND((Source!DO33/100)*ROUND((Source!AF33*Source!AV33)*Source!I33, 2), 2)</f>
        <v>327.63</v>
      </c>
      <c r="T54">
        <f>Source!Y33</f>
        <v>4281.72</v>
      </c>
      <c r="U54">
        <f>ROUND((175/100)*ROUND((Source!AE33*Source!AV33)*Source!I33, 2), 2)</f>
        <v>2.63</v>
      </c>
      <c r="V54">
        <f>ROUND((157/100)*ROUND(Source!CS33*Source!I33, 2), 2)</f>
        <v>47.99</v>
      </c>
    </row>
    <row r="55" spans="1:22" x14ac:dyDescent="0.2">
      <c r="C55" s="40" t="str">
        <f>"Объем: "&amp;Source!I33&amp;"=835,5/"&amp;"100"</f>
        <v>Объем: 8,355=835,5/100</v>
      </c>
    </row>
    <row r="56" spans="1:22" ht="14.25" x14ac:dyDescent="0.2">
      <c r="A56" s="34"/>
      <c r="B56" s="35"/>
      <c r="C56" s="35" t="s">
        <v>675</v>
      </c>
      <c r="D56" s="36"/>
      <c r="E56" s="28"/>
      <c r="F56" s="38">
        <f>Source!AO33</f>
        <v>51.98</v>
      </c>
      <c r="G56" s="37" t="str">
        <f>Source!DG33</f>
        <v>)*1,15</v>
      </c>
      <c r="H56" s="28">
        <f>Source!AV33</f>
        <v>1.0249999999999999</v>
      </c>
      <c r="I56" s="28">
        <f>IF(Source!BA33&lt;&gt; 0, Source!BA33, 1)</f>
        <v>20.399999999999999</v>
      </c>
      <c r="J56" s="39">
        <f>Source!S33</f>
        <v>10443.219999999999</v>
      </c>
      <c r="K56" s="39"/>
    </row>
    <row r="57" spans="1:22" ht="14.25" x14ac:dyDescent="0.2">
      <c r="A57" s="34"/>
      <c r="B57" s="35"/>
      <c r="C57" s="35" t="s">
        <v>676</v>
      </c>
      <c r="D57" s="36"/>
      <c r="E57" s="28"/>
      <c r="F57" s="38">
        <f>Source!AM33</f>
        <v>0.82</v>
      </c>
      <c r="G57" s="37" t="str">
        <f>Source!DE33</f>
        <v>)*1,25</v>
      </c>
      <c r="H57" s="28">
        <f>Source!AV33</f>
        <v>1.0249999999999999</v>
      </c>
      <c r="I57" s="28">
        <f>IF(Source!BB33&lt;&gt; 0, Source!BB33, 1)</f>
        <v>7.8</v>
      </c>
      <c r="J57" s="39">
        <f>Source!Q33</f>
        <v>68.47</v>
      </c>
      <c r="K57" s="39"/>
    </row>
    <row r="58" spans="1:22" ht="14.25" x14ac:dyDescent="0.2">
      <c r="A58" s="34"/>
      <c r="B58" s="35"/>
      <c r="C58" s="35" t="s">
        <v>677</v>
      </c>
      <c r="D58" s="36"/>
      <c r="E58" s="28"/>
      <c r="F58" s="38">
        <f>Source!AN33</f>
        <v>0.14000000000000001</v>
      </c>
      <c r="G58" s="37" t="str">
        <f>Source!DF33</f>
        <v>)*1,25</v>
      </c>
      <c r="H58" s="28">
        <f>Source!AV33</f>
        <v>1.0249999999999999</v>
      </c>
      <c r="I58" s="28">
        <f>IF(Source!BS33&lt;&gt; 0, Source!BS33, 1)</f>
        <v>20.399999999999999</v>
      </c>
      <c r="J58" s="41">
        <f>Source!R33</f>
        <v>30.57</v>
      </c>
      <c r="K58" s="39"/>
    </row>
    <row r="59" spans="1:22" ht="57" x14ac:dyDescent="0.2">
      <c r="A59" s="34" t="str">
        <f>Source!E34</f>
        <v>3,1</v>
      </c>
      <c r="B59" s="35" t="str">
        <f>Source!F34</f>
        <v>1.1-1-2854</v>
      </c>
      <c r="C59" s="35" t="s">
        <v>65</v>
      </c>
      <c r="D59" s="36" t="str">
        <f>Source!H34</f>
        <v>кг</v>
      </c>
      <c r="E59" s="28">
        <f>Source!I34</f>
        <v>86.0565</v>
      </c>
      <c r="F59" s="38">
        <f>Source!AK34</f>
        <v>28.98</v>
      </c>
      <c r="G59" s="42" t="s">
        <v>3</v>
      </c>
      <c r="H59" s="28">
        <f>Source!AW34</f>
        <v>1</v>
      </c>
      <c r="I59" s="28">
        <f>IF(Source!BC34&lt;&gt; 0, Source!BC34, 1)</f>
        <v>1.19</v>
      </c>
      <c r="J59" s="39">
        <f>Source!O34</f>
        <v>2967.76</v>
      </c>
      <c r="K59" s="39"/>
      <c r="Q59">
        <f>ROUND((Source!DN34/100)*ROUND((Source!AF34*Source!AV34)*Source!I34, 2), 2)</f>
        <v>0</v>
      </c>
      <c r="R59">
        <f>Source!X34</f>
        <v>0</v>
      </c>
      <c r="S59">
        <f>ROUND((Source!DO34/100)*ROUND((Source!AF34*Source!AV34)*Source!I34, 2), 2)</f>
        <v>0</v>
      </c>
      <c r="T59">
        <f>Source!Y34</f>
        <v>0</v>
      </c>
      <c r="U59">
        <f>ROUND((175/100)*ROUND((Source!AE34*Source!AV34)*Source!I34, 2), 2)</f>
        <v>0</v>
      </c>
      <c r="V59">
        <f>ROUND((157/100)*ROUND(Source!CS34*Source!I34, 2), 2)</f>
        <v>0</v>
      </c>
    </row>
    <row r="60" spans="1:22" ht="14.25" x14ac:dyDescent="0.2">
      <c r="A60" s="34"/>
      <c r="B60" s="35"/>
      <c r="C60" s="35" t="s">
        <v>679</v>
      </c>
      <c r="D60" s="36" t="s">
        <v>680</v>
      </c>
      <c r="E60" s="28">
        <f>Source!BZ33</f>
        <v>81</v>
      </c>
      <c r="F60" s="38"/>
      <c r="G60" s="37"/>
      <c r="H60" s="28"/>
      <c r="I60" s="28"/>
      <c r="J60" s="39">
        <f>SUM(R54:R59)</f>
        <v>8459.01</v>
      </c>
      <c r="K60" s="39"/>
    </row>
    <row r="61" spans="1:22" ht="14.25" x14ac:dyDescent="0.2">
      <c r="A61" s="34"/>
      <c r="B61" s="35"/>
      <c r="C61" s="35" t="s">
        <v>681</v>
      </c>
      <c r="D61" s="36" t="s">
        <v>680</v>
      </c>
      <c r="E61" s="28">
        <f>Source!CA33</f>
        <v>41</v>
      </c>
      <c r="F61" s="38"/>
      <c r="G61" s="37"/>
      <c r="H61" s="28"/>
      <c r="I61" s="28"/>
      <c r="J61" s="39">
        <f>SUM(T54:T60)</f>
        <v>4281.72</v>
      </c>
      <c r="K61" s="39"/>
    </row>
    <row r="62" spans="1:22" ht="14.25" x14ac:dyDescent="0.2">
      <c r="A62" s="34"/>
      <c r="B62" s="35"/>
      <c r="C62" s="35" t="s">
        <v>682</v>
      </c>
      <c r="D62" s="36" t="s">
        <v>680</v>
      </c>
      <c r="E62" s="28">
        <f>157</f>
        <v>157</v>
      </c>
      <c r="F62" s="38"/>
      <c r="G62" s="37"/>
      <c r="H62" s="28"/>
      <c r="I62" s="28"/>
      <c r="J62" s="39">
        <f>SUM(V54:V61)</f>
        <v>47.99</v>
      </c>
      <c r="K62" s="39"/>
    </row>
    <row r="63" spans="1:22" ht="14.25" x14ac:dyDescent="0.2">
      <c r="A63" s="46"/>
      <c r="B63" s="47"/>
      <c r="C63" s="47" t="s">
        <v>683</v>
      </c>
      <c r="D63" s="48" t="s">
        <v>684</v>
      </c>
      <c r="E63" s="49">
        <f>Source!AQ33</f>
        <v>4.6500000000000004</v>
      </c>
      <c r="F63" s="50"/>
      <c r="G63" s="51" t="str">
        <f>Source!DI33</f>
        <v>)*1,15</v>
      </c>
      <c r="H63" s="49">
        <f>Source!AV33</f>
        <v>1.0249999999999999</v>
      </c>
      <c r="I63" s="49"/>
      <c r="J63" s="52"/>
      <c r="K63" s="52">
        <f>Source!U33</f>
        <v>45.7953215625</v>
      </c>
    </row>
    <row r="64" spans="1:22" ht="15" x14ac:dyDescent="0.25">
      <c r="A64" s="53"/>
      <c r="B64" s="53"/>
      <c r="C64" s="54" t="s">
        <v>685</v>
      </c>
      <c r="D64" s="53"/>
      <c r="E64" s="53"/>
      <c r="F64" s="53"/>
      <c r="G64" s="53"/>
      <c r="H64" s="53"/>
      <c r="I64" s="55">
        <f>J56+J57+J60+J61+J62+SUM(J59:J59)</f>
        <v>26268.17</v>
      </c>
      <c r="J64" s="55"/>
      <c r="K64" s="56">
        <f>IF(Source!I33&lt;&gt;0, ROUND(I64/Source!I33, 2), 0)</f>
        <v>3144.01</v>
      </c>
      <c r="P64" s="43">
        <f>J56+J57+J60+J61+J62+SUM(J59:J59)</f>
        <v>26268.17</v>
      </c>
    </row>
    <row r="66" spans="1:22" ht="71.25" x14ac:dyDescent="0.2">
      <c r="A66" s="34" t="str">
        <f>Source!E35</f>
        <v>4</v>
      </c>
      <c r="B66" s="35" t="str">
        <f>Source!F35</f>
        <v>3.15-140-1</v>
      </c>
      <c r="C66" s="35" t="s">
        <v>69</v>
      </c>
      <c r="D66" s="36" t="str">
        <f>Source!H35</f>
        <v>100 м2 оклеиваемой поверхности</v>
      </c>
      <c r="E66" s="28">
        <f>Source!I35</f>
        <v>8.3550000000000004</v>
      </c>
      <c r="F66" s="38"/>
      <c r="G66" s="37"/>
      <c r="H66" s="28"/>
      <c r="I66" s="28"/>
      <c r="J66" s="39"/>
      <c r="K66" s="39"/>
      <c r="Q66">
        <f>ROUND((Source!DN35/100)*ROUND((Source!AF35*Source!AV35)*Source!I35, 2), 2)</f>
        <v>18727.53</v>
      </c>
      <c r="R66">
        <f>Source!X35</f>
        <v>309453.69</v>
      </c>
      <c r="S66">
        <f>ROUND((Source!DO35/100)*ROUND((Source!AF35*Source!AV35)*Source!I35, 2), 2)</f>
        <v>11985.62</v>
      </c>
      <c r="T66">
        <f>Source!Y35</f>
        <v>156637.04999999999</v>
      </c>
      <c r="U66">
        <f>ROUND((175/100)*ROUND((Source!AE35*Source!AV35)*Source!I35, 2), 2)</f>
        <v>20.98</v>
      </c>
      <c r="V66">
        <f>ROUND((157/100)*ROUND(Source!CS35*Source!I35, 2), 2)</f>
        <v>383.99</v>
      </c>
    </row>
    <row r="67" spans="1:22" x14ac:dyDescent="0.2">
      <c r="C67" s="40" t="str">
        <f>"Объем: "&amp;Source!I35&amp;"=835,5/"&amp;"100"</f>
        <v>Объем: 8,355=835,5/100</v>
      </c>
    </row>
    <row r="68" spans="1:22" ht="14.25" x14ac:dyDescent="0.2">
      <c r="A68" s="34"/>
      <c r="B68" s="35"/>
      <c r="C68" s="35" t="s">
        <v>675</v>
      </c>
      <c r="D68" s="36"/>
      <c r="E68" s="28"/>
      <c r="F68" s="38">
        <f>Source!AO35</f>
        <v>1901.57</v>
      </c>
      <c r="G68" s="37" t="str">
        <f>Source!DG35</f>
        <v>)*1,15</v>
      </c>
      <c r="H68" s="28">
        <f>Source!AV35</f>
        <v>1.0249999999999999</v>
      </c>
      <c r="I68" s="28">
        <f>IF(Source!BA35&lt;&gt; 0, Source!BA35, 1)</f>
        <v>20.399999999999999</v>
      </c>
      <c r="J68" s="39">
        <f>Source!S35</f>
        <v>382041.59</v>
      </c>
      <c r="K68" s="39"/>
    </row>
    <row r="69" spans="1:22" ht="14.25" x14ac:dyDescent="0.2">
      <c r="A69" s="34"/>
      <c r="B69" s="35"/>
      <c r="C69" s="35" t="s">
        <v>676</v>
      </c>
      <c r="D69" s="36"/>
      <c r="E69" s="28"/>
      <c r="F69" s="38">
        <f>Source!AM35</f>
        <v>3.74</v>
      </c>
      <c r="G69" s="37" t="str">
        <f>Source!DE35</f>
        <v>)*1,25</v>
      </c>
      <c r="H69" s="28">
        <f>Source!AV35</f>
        <v>1.0249999999999999</v>
      </c>
      <c r="I69" s="28">
        <f>IF(Source!BB35&lt;&gt; 0, Source!BB35, 1)</f>
        <v>9.9</v>
      </c>
      <c r="J69" s="39">
        <f>Source!Q35</f>
        <v>396.36</v>
      </c>
      <c r="K69" s="39"/>
    </row>
    <row r="70" spans="1:22" ht="14.25" x14ac:dyDescent="0.2">
      <c r="A70" s="34"/>
      <c r="B70" s="35"/>
      <c r="C70" s="35" t="s">
        <v>677</v>
      </c>
      <c r="D70" s="36"/>
      <c r="E70" s="28"/>
      <c r="F70" s="38">
        <f>Source!AN35</f>
        <v>1.1200000000000001</v>
      </c>
      <c r="G70" s="37" t="str">
        <f>Source!DF35</f>
        <v>)*1,25</v>
      </c>
      <c r="H70" s="28">
        <f>Source!AV35</f>
        <v>1.0249999999999999</v>
      </c>
      <c r="I70" s="28">
        <f>IF(Source!BS35&lt;&gt; 0, Source!BS35, 1)</f>
        <v>20.399999999999999</v>
      </c>
      <c r="J70" s="41">
        <f>Source!R35</f>
        <v>244.58</v>
      </c>
      <c r="K70" s="39"/>
    </row>
    <row r="71" spans="1:22" ht="14.25" x14ac:dyDescent="0.2">
      <c r="A71" s="34"/>
      <c r="B71" s="35"/>
      <c r="C71" s="35" t="s">
        <v>678</v>
      </c>
      <c r="D71" s="36"/>
      <c r="E71" s="28"/>
      <c r="F71" s="38">
        <f>Source!AL35</f>
        <v>953.15</v>
      </c>
      <c r="G71" s="37" t="str">
        <f>Source!DD35</f>
        <v/>
      </c>
      <c r="H71" s="28">
        <f>Source!AW35</f>
        <v>1</v>
      </c>
      <c r="I71" s="28">
        <f>IF(Source!BC35&lt;&gt; 0, Source!BC35, 1)</f>
        <v>3.12</v>
      </c>
      <c r="J71" s="39">
        <f>Source!P35</f>
        <v>24846.33</v>
      </c>
      <c r="K71" s="39"/>
    </row>
    <row r="72" spans="1:22" ht="42.75" x14ac:dyDescent="0.2">
      <c r="A72" s="34" t="str">
        <f>Source!E36</f>
        <v>4,1</v>
      </c>
      <c r="B72" s="35" t="str">
        <f>Source!F36</f>
        <v>1.1-1-438</v>
      </c>
      <c r="C72" s="35" t="s">
        <v>76</v>
      </c>
      <c r="D72" s="36" t="str">
        <f>Source!H36</f>
        <v>т</v>
      </c>
      <c r="E72" s="28">
        <f>Source!I36</f>
        <v>0.13367999999999999</v>
      </c>
      <c r="F72" s="38">
        <f>Source!AK36</f>
        <v>22652.13</v>
      </c>
      <c r="G72" s="42" t="s">
        <v>3</v>
      </c>
      <c r="H72" s="28">
        <f>Source!AW36</f>
        <v>1</v>
      </c>
      <c r="I72" s="28">
        <f>IF(Source!BC36&lt;&gt; 0, Source!BC36, 1)</f>
        <v>1.86</v>
      </c>
      <c r="J72" s="39">
        <f>Source!O36</f>
        <v>5632.33</v>
      </c>
      <c r="K72" s="39"/>
      <c r="Q72">
        <f>ROUND((Source!DN36/100)*ROUND((Source!AF36*Source!AV36)*Source!I36, 2), 2)</f>
        <v>0</v>
      </c>
      <c r="R72">
        <f>Source!X36</f>
        <v>0</v>
      </c>
      <c r="S72">
        <f>ROUND((Source!DO36/100)*ROUND((Source!AF36*Source!AV36)*Source!I36, 2), 2)</f>
        <v>0</v>
      </c>
      <c r="T72">
        <f>Source!Y36</f>
        <v>0</v>
      </c>
      <c r="U72">
        <f>ROUND((175/100)*ROUND((Source!AE36*Source!AV36)*Source!I36, 2), 2)</f>
        <v>0</v>
      </c>
      <c r="V72">
        <f>ROUND((157/100)*ROUND(Source!CS36*Source!I36, 2), 2)</f>
        <v>0</v>
      </c>
    </row>
    <row r="73" spans="1:22" ht="57" x14ac:dyDescent="0.2">
      <c r="A73" s="34" t="str">
        <f>Source!E37</f>
        <v>4,2</v>
      </c>
      <c r="B73" s="35" t="str">
        <f>Source!F37</f>
        <v>1.3-2-45</v>
      </c>
      <c r="C73" s="35" t="s">
        <v>81</v>
      </c>
      <c r="D73" s="36" t="str">
        <f>Source!H37</f>
        <v>кг</v>
      </c>
      <c r="E73" s="28">
        <f>Source!I37</f>
        <v>1002.6</v>
      </c>
      <c r="F73" s="38">
        <f>Source!AK37</f>
        <v>13.89</v>
      </c>
      <c r="G73" s="42" t="s">
        <v>3</v>
      </c>
      <c r="H73" s="28">
        <f>Source!AW37</f>
        <v>1</v>
      </c>
      <c r="I73" s="28">
        <f>IF(Source!BC37&lt;&gt; 0, Source!BC37, 1)</f>
        <v>1.55</v>
      </c>
      <c r="J73" s="39">
        <f>Source!O37</f>
        <v>21585.48</v>
      </c>
      <c r="K73" s="39"/>
      <c r="Q73">
        <f>ROUND((Source!DN37/100)*ROUND((Source!AF37*Source!AV37)*Source!I37, 2), 2)</f>
        <v>0</v>
      </c>
      <c r="R73">
        <f>Source!X37</f>
        <v>0</v>
      </c>
      <c r="S73">
        <f>ROUND((Source!DO37/100)*ROUND((Source!AF37*Source!AV37)*Source!I37, 2), 2)</f>
        <v>0</v>
      </c>
      <c r="T73">
        <f>Source!Y37</f>
        <v>0</v>
      </c>
      <c r="U73">
        <f>ROUND((175/100)*ROUND((Source!AE37*Source!AV37)*Source!I37, 2), 2)</f>
        <v>0</v>
      </c>
      <c r="V73">
        <f>ROUND((157/100)*ROUND(Source!CS37*Source!I37, 2), 2)</f>
        <v>0</v>
      </c>
    </row>
    <row r="74" spans="1:22" ht="28.5" x14ac:dyDescent="0.2">
      <c r="A74" s="34" t="str">
        <f>Source!E38</f>
        <v>4,3</v>
      </c>
      <c r="B74" s="35" t="str">
        <f>Source!F38</f>
        <v>1.1-1-1820</v>
      </c>
      <c r="C74" s="35" t="s">
        <v>85</v>
      </c>
      <c r="D74" s="36" t="str">
        <f>Source!H38</f>
        <v>м2</v>
      </c>
      <c r="E74" s="28">
        <f>Source!I38</f>
        <v>935.76</v>
      </c>
      <c r="F74" s="38">
        <f>Source!AK38</f>
        <v>16.38</v>
      </c>
      <c r="G74" s="42" t="s">
        <v>3</v>
      </c>
      <c r="H74" s="28">
        <f>Source!AW38</f>
        <v>1</v>
      </c>
      <c r="I74" s="28">
        <f>IF(Source!BC38&lt;&gt; 0, Source!BC38, 1)</f>
        <v>4</v>
      </c>
      <c r="J74" s="39">
        <f>Source!O38</f>
        <v>61311</v>
      </c>
      <c r="K74" s="39"/>
      <c r="Q74">
        <f>ROUND((Source!DN38/100)*ROUND((Source!AF38*Source!AV38)*Source!I38, 2), 2)</f>
        <v>0</v>
      </c>
      <c r="R74">
        <f>Source!X38</f>
        <v>0</v>
      </c>
      <c r="S74">
        <f>ROUND((Source!DO38/100)*ROUND((Source!AF38*Source!AV38)*Source!I38, 2), 2)</f>
        <v>0</v>
      </c>
      <c r="T74">
        <f>Source!Y38</f>
        <v>0</v>
      </c>
      <c r="U74">
        <f>ROUND((175/100)*ROUND((Source!AE38*Source!AV38)*Source!I38, 2), 2)</f>
        <v>0</v>
      </c>
      <c r="V74">
        <f>ROUND((157/100)*ROUND(Source!CS38*Source!I38, 2), 2)</f>
        <v>0</v>
      </c>
    </row>
    <row r="75" spans="1:22" ht="14.25" x14ac:dyDescent="0.2">
      <c r="A75" s="34"/>
      <c r="B75" s="35"/>
      <c r="C75" s="35" t="s">
        <v>679</v>
      </c>
      <c r="D75" s="36" t="s">
        <v>680</v>
      </c>
      <c r="E75" s="28">
        <f>Source!BZ35</f>
        <v>81</v>
      </c>
      <c r="F75" s="38"/>
      <c r="G75" s="37"/>
      <c r="H75" s="28"/>
      <c r="I75" s="28"/>
      <c r="J75" s="39">
        <f>SUM(R66:R74)</f>
        <v>309453.69</v>
      </c>
      <c r="K75" s="39"/>
    </row>
    <row r="76" spans="1:22" ht="14.25" x14ac:dyDescent="0.2">
      <c r="A76" s="34"/>
      <c r="B76" s="35"/>
      <c r="C76" s="35" t="s">
        <v>681</v>
      </c>
      <c r="D76" s="36" t="s">
        <v>680</v>
      </c>
      <c r="E76" s="28">
        <f>Source!CA35</f>
        <v>41</v>
      </c>
      <c r="F76" s="38"/>
      <c r="G76" s="37"/>
      <c r="H76" s="28"/>
      <c r="I76" s="28"/>
      <c r="J76" s="39">
        <f>SUM(T66:T75)</f>
        <v>156637.04999999999</v>
      </c>
      <c r="K76" s="39"/>
    </row>
    <row r="77" spans="1:22" ht="14.25" x14ac:dyDescent="0.2">
      <c r="A77" s="34"/>
      <c r="B77" s="35"/>
      <c r="C77" s="35" t="s">
        <v>682</v>
      </c>
      <c r="D77" s="36" t="s">
        <v>680</v>
      </c>
      <c r="E77" s="28">
        <f>157</f>
        <v>157</v>
      </c>
      <c r="F77" s="38"/>
      <c r="G77" s="37"/>
      <c r="H77" s="28"/>
      <c r="I77" s="28"/>
      <c r="J77" s="39">
        <f>SUM(V66:V76)</f>
        <v>383.99</v>
      </c>
      <c r="K77" s="39"/>
    </row>
    <row r="78" spans="1:22" ht="14.25" x14ac:dyDescent="0.2">
      <c r="A78" s="46"/>
      <c r="B78" s="47"/>
      <c r="C78" s="47" t="s">
        <v>683</v>
      </c>
      <c r="D78" s="48" t="s">
        <v>684</v>
      </c>
      <c r="E78" s="49">
        <f>Source!AQ35</f>
        <v>157</v>
      </c>
      <c r="F78" s="50"/>
      <c r="G78" s="51" t="str">
        <f>Source!DI35</f>
        <v>)*1,15</v>
      </c>
      <c r="H78" s="49">
        <f>Source!AV35</f>
        <v>1.0249999999999999</v>
      </c>
      <c r="I78" s="49"/>
      <c r="J78" s="52"/>
      <c r="K78" s="52">
        <f>Source!U35</f>
        <v>1546.2076312499998</v>
      </c>
    </row>
    <row r="79" spans="1:22" ht="15" x14ac:dyDescent="0.25">
      <c r="A79" s="53"/>
      <c r="B79" s="53"/>
      <c r="C79" s="54" t="s">
        <v>685</v>
      </c>
      <c r="D79" s="53"/>
      <c r="E79" s="53"/>
      <c r="F79" s="53"/>
      <c r="G79" s="53"/>
      <c r="H79" s="53"/>
      <c r="I79" s="55">
        <f>J68+J69+J71+J75+J76+J77+SUM(J72:J74)</f>
        <v>962287.82000000007</v>
      </c>
      <c r="J79" s="55"/>
      <c r="K79" s="56">
        <f>IF(Source!I35&lt;&gt;0, ROUND(I79/Source!I35, 2), 0)</f>
        <v>115175.08</v>
      </c>
      <c r="P79" s="43">
        <f>J68+J69+J71+J75+J76+J77+SUM(J72:J74)</f>
        <v>962287.82000000007</v>
      </c>
    </row>
    <row r="81" spans="1:22" ht="71.25" x14ac:dyDescent="0.2">
      <c r="A81" s="34" t="str">
        <f>Source!E39</f>
        <v>5</v>
      </c>
      <c r="B81" s="35" t="str">
        <f>Source!F39</f>
        <v>3.15-140-3</v>
      </c>
      <c r="C81" s="35" t="s">
        <v>89</v>
      </c>
      <c r="D81" s="36" t="str">
        <f>Source!H39</f>
        <v>100 м2 окрашиваемой поверхности</v>
      </c>
      <c r="E81" s="28">
        <f>Source!I39</f>
        <v>8.3550000000000004</v>
      </c>
      <c r="F81" s="38"/>
      <c r="G81" s="37"/>
      <c r="H81" s="28"/>
      <c r="I81" s="28"/>
      <c r="J81" s="39"/>
      <c r="K81" s="39"/>
      <c r="Q81">
        <f>ROUND((Source!DN39/100)*ROUND((Source!AF39*Source!AV39)*Source!I39, 2), 2)</f>
        <v>650.39</v>
      </c>
      <c r="R81">
        <f>Source!X39</f>
        <v>10747.08</v>
      </c>
      <c r="S81">
        <f>ROUND((Source!DO39/100)*ROUND((Source!AF39*Source!AV39)*Source!I39, 2), 2)</f>
        <v>416.25</v>
      </c>
      <c r="T81">
        <f>Source!Y39</f>
        <v>5439.88</v>
      </c>
      <c r="U81">
        <f>ROUND((175/100)*ROUND((Source!AE39*Source!AV39)*Source!I39, 2), 2)</f>
        <v>0</v>
      </c>
      <c r="V81">
        <f>ROUND((157/100)*ROUND(Source!CS39*Source!I39, 2), 2)</f>
        <v>0</v>
      </c>
    </row>
    <row r="82" spans="1:22" x14ac:dyDescent="0.2">
      <c r="C82" s="40" t="str">
        <f>"Объем: "&amp;Source!I39&amp;"=835,5/"&amp;"100"</f>
        <v>Объем: 8,355=835,5/100</v>
      </c>
    </row>
    <row r="83" spans="1:22" ht="14.25" x14ac:dyDescent="0.2">
      <c r="A83" s="34"/>
      <c r="B83" s="35"/>
      <c r="C83" s="35" t="s">
        <v>675</v>
      </c>
      <c r="D83" s="36"/>
      <c r="E83" s="28"/>
      <c r="F83" s="38">
        <f>Source!AO39</f>
        <v>66.040000000000006</v>
      </c>
      <c r="G83" s="37" t="str">
        <f>Source!DG39</f>
        <v>)*1,15</v>
      </c>
      <c r="H83" s="28">
        <f>Source!AV39</f>
        <v>1.0249999999999999</v>
      </c>
      <c r="I83" s="28">
        <f>IF(Source!BA39&lt;&gt; 0, Source!BA39, 1)</f>
        <v>20.399999999999999</v>
      </c>
      <c r="J83" s="39">
        <f>Source!S39</f>
        <v>13268</v>
      </c>
      <c r="K83" s="39"/>
    </row>
    <row r="84" spans="1:22" ht="42.75" x14ac:dyDescent="0.2">
      <c r="A84" s="34" t="str">
        <f>Source!E40</f>
        <v>5,1</v>
      </c>
      <c r="B84" s="35" t="str">
        <f>Source!F40</f>
        <v>1.1-1-438</v>
      </c>
      <c r="C84" s="35" t="s">
        <v>76</v>
      </c>
      <c r="D84" s="36" t="str">
        <f>Source!H40</f>
        <v>т</v>
      </c>
      <c r="E84" s="28">
        <f>Source!I40</f>
        <v>0.12532499999999999</v>
      </c>
      <c r="F84" s="38">
        <f>Source!AK40</f>
        <v>22652.13</v>
      </c>
      <c r="G84" s="42" t="s">
        <v>3</v>
      </c>
      <c r="H84" s="28">
        <f>Source!AW40</f>
        <v>1</v>
      </c>
      <c r="I84" s="28">
        <f>IF(Source!BC40&lt;&gt; 0, Source!BC40, 1)</f>
        <v>1.86</v>
      </c>
      <c r="J84" s="39">
        <f>Source!O40</f>
        <v>5280.31</v>
      </c>
      <c r="K84" s="39"/>
      <c r="Q84">
        <f>ROUND((Source!DN40/100)*ROUND((Source!AF40*Source!AV40)*Source!I40, 2), 2)</f>
        <v>0</v>
      </c>
      <c r="R84">
        <f>Source!X40</f>
        <v>0</v>
      </c>
      <c r="S84">
        <f>ROUND((Source!DO40/100)*ROUND((Source!AF40*Source!AV40)*Source!I40, 2), 2)</f>
        <v>0</v>
      </c>
      <c r="T84">
        <f>Source!Y40</f>
        <v>0</v>
      </c>
      <c r="U84">
        <f>ROUND((175/100)*ROUND((Source!AE40*Source!AV40)*Source!I40, 2), 2)</f>
        <v>0</v>
      </c>
      <c r="V84">
        <f>ROUND((157/100)*ROUND(Source!CS40*Source!I40, 2), 2)</f>
        <v>0</v>
      </c>
    </row>
    <row r="85" spans="1:22" ht="14.25" x14ac:dyDescent="0.2">
      <c r="A85" s="34"/>
      <c r="B85" s="35"/>
      <c r="C85" s="35" t="s">
        <v>679</v>
      </c>
      <c r="D85" s="36" t="s">
        <v>680</v>
      </c>
      <c r="E85" s="28">
        <f>Source!BZ39</f>
        <v>81</v>
      </c>
      <c r="F85" s="38"/>
      <c r="G85" s="37"/>
      <c r="H85" s="28"/>
      <c r="I85" s="28"/>
      <c r="J85" s="39">
        <f>SUM(R81:R84)</f>
        <v>10747.08</v>
      </c>
      <c r="K85" s="39"/>
    </row>
    <row r="86" spans="1:22" ht="14.25" x14ac:dyDescent="0.2">
      <c r="A86" s="34"/>
      <c r="B86" s="35"/>
      <c r="C86" s="35" t="s">
        <v>681</v>
      </c>
      <c r="D86" s="36" t="s">
        <v>680</v>
      </c>
      <c r="E86" s="28">
        <f>Source!CA39</f>
        <v>41</v>
      </c>
      <c r="F86" s="38"/>
      <c r="G86" s="37"/>
      <c r="H86" s="28"/>
      <c r="I86" s="28"/>
      <c r="J86" s="39">
        <f>SUM(T81:T85)</f>
        <v>5439.88</v>
      </c>
      <c r="K86" s="39"/>
    </row>
    <row r="87" spans="1:22" ht="14.25" x14ac:dyDescent="0.2">
      <c r="A87" s="46"/>
      <c r="B87" s="47"/>
      <c r="C87" s="47" t="s">
        <v>683</v>
      </c>
      <c r="D87" s="48" t="s">
        <v>684</v>
      </c>
      <c r="E87" s="49">
        <f>Source!AQ39</f>
        <v>5.49</v>
      </c>
      <c r="F87" s="50"/>
      <c r="G87" s="51" t="str">
        <f>Source!DI39</f>
        <v>)*1,15</v>
      </c>
      <c r="H87" s="49">
        <f>Source!AV39</f>
        <v>1.0249999999999999</v>
      </c>
      <c r="I87" s="49"/>
      <c r="J87" s="52"/>
      <c r="K87" s="52">
        <f>Source!U39</f>
        <v>54.068024812499992</v>
      </c>
    </row>
    <row r="88" spans="1:22" ht="15" x14ac:dyDescent="0.25">
      <c r="A88" s="53"/>
      <c r="B88" s="53"/>
      <c r="C88" s="54" t="s">
        <v>685</v>
      </c>
      <c r="D88" s="53"/>
      <c r="E88" s="53"/>
      <c r="F88" s="53"/>
      <c r="G88" s="53"/>
      <c r="H88" s="53"/>
      <c r="I88" s="55">
        <f>J83+J85+J86+SUM(J84:J84)</f>
        <v>34735.270000000004</v>
      </c>
      <c r="J88" s="55"/>
      <c r="K88" s="56">
        <f>IF(Source!I39&lt;&gt;0, ROUND(I88/Source!I39, 2), 0)</f>
        <v>4157.42</v>
      </c>
      <c r="P88" s="43">
        <f>J83+J85+J86+SUM(J84:J84)</f>
        <v>34735.270000000004</v>
      </c>
    </row>
    <row r="90" spans="1:22" ht="42.75" x14ac:dyDescent="0.2">
      <c r="A90" s="34" t="str">
        <f>Source!E41</f>
        <v>6</v>
      </c>
      <c r="B90" s="35" t="str">
        <f>Source!F41</f>
        <v>3.9-49-1</v>
      </c>
      <c r="C90" s="35" t="s">
        <v>95</v>
      </c>
      <c r="D90" s="36" t="str">
        <f>Source!H41</f>
        <v>1 т конструкций</v>
      </c>
      <c r="E90" s="28">
        <f>Source!I41</f>
        <v>0.98750000000000004</v>
      </c>
      <c r="F90" s="38"/>
      <c r="G90" s="37"/>
      <c r="H90" s="28"/>
      <c r="I90" s="28"/>
      <c r="J90" s="39"/>
      <c r="K90" s="39"/>
      <c r="Q90">
        <f>ROUND((Source!DN41/100)*ROUND((Source!AF41*Source!AV41)*Source!I41, 2), 2)</f>
        <v>909.96</v>
      </c>
      <c r="R90">
        <f>Source!X41</f>
        <v>14850.56</v>
      </c>
      <c r="S90">
        <f>ROUND((Source!DO41/100)*ROUND((Source!AF41*Source!AV41)*Source!I41, 2), 2)</f>
        <v>749.38</v>
      </c>
      <c r="T90">
        <f>Source!Y41</f>
        <v>8954.01</v>
      </c>
      <c r="U90">
        <f>ROUND((175/100)*ROUND((Source!AE41*Source!AV41)*Source!I41, 2), 2)</f>
        <v>34.549999999999997</v>
      </c>
      <c r="V90">
        <f>ROUND((157/100)*ROUND(Source!CS41*Source!I41, 2), 2)</f>
        <v>632.14</v>
      </c>
    </row>
    <row r="91" spans="1:22" x14ac:dyDescent="0.2">
      <c r="C91" s="40" t="str">
        <f>"Объем: "&amp;Source!I41&amp;"=2,5*"&amp;"395/"&amp;"1000"</f>
        <v>Объем: 0,9875=2,5*395/1000</v>
      </c>
    </row>
    <row r="92" spans="1:22" ht="14.25" x14ac:dyDescent="0.2">
      <c r="A92" s="34"/>
      <c r="B92" s="35"/>
      <c r="C92" s="35" t="s">
        <v>675</v>
      </c>
      <c r="D92" s="36"/>
      <c r="E92" s="28"/>
      <c r="F92" s="38">
        <f>Source!AO41</f>
        <v>867.24</v>
      </c>
      <c r="G92" s="37" t="str">
        <f>Source!DG41</f>
        <v>)*1,15</v>
      </c>
      <c r="H92" s="28">
        <f>Source!AV41</f>
        <v>1.087</v>
      </c>
      <c r="I92" s="28">
        <f>IF(Source!BA41&lt;&gt; 0, Source!BA41, 1)</f>
        <v>20.399999999999999</v>
      </c>
      <c r="J92" s="39">
        <f>Source!S41</f>
        <v>21839.06</v>
      </c>
      <c r="K92" s="39"/>
    </row>
    <row r="93" spans="1:22" ht="14.25" x14ac:dyDescent="0.2">
      <c r="A93" s="34"/>
      <c r="B93" s="35"/>
      <c r="C93" s="35" t="s">
        <v>676</v>
      </c>
      <c r="D93" s="36"/>
      <c r="E93" s="28"/>
      <c r="F93" s="38">
        <f>Source!AM41</f>
        <v>131.58000000000001</v>
      </c>
      <c r="G93" s="37" t="str">
        <f>Source!DE41</f>
        <v>)*1,25</v>
      </c>
      <c r="H93" s="28">
        <f>Source!AV41</f>
        <v>1.087</v>
      </c>
      <c r="I93" s="28">
        <f>IF(Source!BB41&lt;&gt; 0, Source!BB41, 1)</f>
        <v>9.5299999999999994</v>
      </c>
      <c r="J93" s="39">
        <f>Source!Q41</f>
        <v>1682.52</v>
      </c>
      <c r="K93" s="39"/>
    </row>
    <row r="94" spans="1:22" ht="14.25" x14ac:dyDescent="0.2">
      <c r="A94" s="34"/>
      <c r="B94" s="35"/>
      <c r="C94" s="35" t="s">
        <v>677</v>
      </c>
      <c r="D94" s="36"/>
      <c r="E94" s="28"/>
      <c r="F94" s="38">
        <f>Source!AN41</f>
        <v>14.71</v>
      </c>
      <c r="G94" s="37" t="str">
        <f>Source!DF41</f>
        <v>)*1,25</v>
      </c>
      <c r="H94" s="28">
        <f>Source!AV41</f>
        <v>1.087</v>
      </c>
      <c r="I94" s="28">
        <f>IF(Source!BS41&lt;&gt; 0, Source!BS41, 1)</f>
        <v>20.399999999999999</v>
      </c>
      <c r="J94" s="41">
        <f>Source!R41</f>
        <v>402.64</v>
      </c>
      <c r="K94" s="39"/>
    </row>
    <row r="95" spans="1:22" ht="14.25" x14ac:dyDescent="0.2">
      <c r="A95" s="34"/>
      <c r="B95" s="35"/>
      <c r="C95" s="35" t="s">
        <v>678</v>
      </c>
      <c r="D95" s="36"/>
      <c r="E95" s="28"/>
      <c r="F95" s="38">
        <f>Source!AL41</f>
        <v>432.39</v>
      </c>
      <c r="G95" s="37" t="str">
        <f>Source!DD41</f>
        <v/>
      </c>
      <c r="H95" s="28">
        <f>Source!AW41</f>
        <v>1</v>
      </c>
      <c r="I95" s="28">
        <f>IF(Source!BC41&lt;&gt; 0, Source!BC41, 1)</f>
        <v>8.6</v>
      </c>
      <c r="J95" s="39">
        <f>Source!P41</f>
        <v>3672.07</v>
      </c>
      <c r="K95" s="39"/>
    </row>
    <row r="96" spans="1:22" ht="28.5" x14ac:dyDescent="0.2">
      <c r="A96" s="34" t="str">
        <f>Source!E42</f>
        <v>6,1</v>
      </c>
      <c r="B96" s="35" t="str">
        <f>Source!F42</f>
        <v>1.6-1-291</v>
      </c>
      <c r="C96" s="35" t="s">
        <v>102</v>
      </c>
      <c r="D96" s="36" t="str">
        <f>Source!H42</f>
        <v>т</v>
      </c>
      <c r="E96" s="28">
        <f>Source!I42</f>
        <v>0.98750000000000004</v>
      </c>
      <c r="F96" s="38">
        <f>Source!AK42</f>
        <v>19485.54</v>
      </c>
      <c r="G96" s="42" t="s">
        <v>3</v>
      </c>
      <c r="H96" s="28">
        <f>Source!AW42</f>
        <v>1</v>
      </c>
      <c r="I96" s="28">
        <f>IF(Source!BC42&lt;&gt; 0, Source!BC42, 1)</f>
        <v>3.27</v>
      </c>
      <c r="J96" s="39">
        <f>Source!O42</f>
        <v>62921.24</v>
      </c>
      <c r="K96" s="39"/>
      <c r="Q96">
        <f>ROUND((Source!DN42/100)*ROUND((Source!AF42*Source!AV42)*Source!I42, 2), 2)</f>
        <v>0</v>
      </c>
      <c r="R96">
        <f>Source!X42</f>
        <v>0</v>
      </c>
      <c r="S96">
        <f>ROUND((Source!DO42/100)*ROUND((Source!AF42*Source!AV42)*Source!I42, 2), 2)</f>
        <v>0</v>
      </c>
      <c r="T96">
        <f>Source!Y42</f>
        <v>0</v>
      </c>
      <c r="U96">
        <f>ROUND((175/100)*ROUND((Source!AE42*Source!AV42)*Source!I42, 2), 2)</f>
        <v>0</v>
      </c>
      <c r="V96">
        <f>ROUND((157/100)*ROUND(Source!CS42*Source!I42, 2), 2)</f>
        <v>0</v>
      </c>
    </row>
    <row r="97" spans="1:22" ht="14.25" x14ac:dyDescent="0.2">
      <c r="A97" s="34"/>
      <c r="B97" s="35"/>
      <c r="C97" s="35" t="s">
        <v>679</v>
      </c>
      <c r="D97" s="36" t="s">
        <v>680</v>
      </c>
      <c r="E97" s="28">
        <f>Source!BZ41</f>
        <v>68</v>
      </c>
      <c r="F97" s="38"/>
      <c r="G97" s="37"/>
      <c r="H97" s="28"/>
      <c r="I97" s="28"/>
      <c r="J97" s="39">
        <f>SUM(R90:R96)</f>
        <v>14850.56</v>
      </c>
      <c r="K97" s="39"/>
    </row>
    <row r="98" spans="1:22" ht="14.25" x14ac:dyDescent="0.2">
      <c r="A98" s="34"/>
      <c r="B98" s="35"/>
      <c r="C98" s="35" t="s">
        <v>681</v>
      </c>
      <c r="D98" s="36" t="s">
        <v>680</v>
      </c>
      <c r="E98" s="28">
        <f>Source!CA41</f>
        <v>41</v>
      </c>
      <c r="F98" s="38"/>
      <c r="G98" s="37"/>
      <c r="H98" s="28"/>
      <c r="I98" s="28"/>
      <c r="J98" s="39">
        <f>SUM(T90:T97)</f>
        <v>8954.01</v>
      </c>
      <c r="K98" s="39"/>
    </row>
    <row r="99" spans="1:22" ht="14.25" x14ac:dyDescent="0.2">
      <c r="A99" s="34"/>
      <c r="B99" s="35"/>
      <c r="C99" s="35" t="s">
        <v>682</v>
      </c>
      <c r="D99" s="36" t="s">
        <v>680</v>
      </c>
      <c r="E99" s="28">
        <f>157</f>
        <v>157</v>
      </c>
      <c r="F99" s="38"/>
      <c r="G99" s="37"/>
      <c r="H99" s="28"/>
      <c r="I99" s="28"/>
      <c r="J99" s="39">
        <f>SUM(V90:V98)</f>
        <v>632.14</v>
      </c>
      <c r="K99" s="39"/>
    </row>
    <row r="100" spans="1:22" ht="14.25" x14ac:dyDescent="0.2">
      <c r="A100" s="46"/>
      <c r="B100" s="47"/>
      <c r="C100" s="47" t="s">
        <v>683</v>
      </c>
      <c r="D100" s="48" t="s">
        <v>684</v>
      </c>
      <c r="E100" s="49">
        <f>Source!AQ41</f>
        <v>65.7</v>
      </c>
      <c r="F100" s="50"/>
      <c r="G100" s="51" t="str">
        <f>Source!DI41</f>
        <v>)*1,15</v>
      </c>
      <c r="H100" s="49">
        <f>Source!AV41</f>
        <v>1.087</v>
      </c>
      <c r="I100" s="49"/>
      <c r="J100" s="52"/>
      <c r="K100" s="52">
        <f>Source!U41</f>
        <v>81.101681437499991</v>
      </c>
    </row>
    <row r="101" spans="1:22" ht="15" x14ac:dyDescent="0.25">
      <c r="A101" s="53"/>
      <c r="B101" s="53"/>
      <c r="C101" s="54" t="s">
        <v>685</v>
      </c>
      <c r="D101" s="53"/>
      <c r="E101" s="53"/>
      <c r="F101" s="53"/>
      <c r="G101" s="53"/>
      <c r="H101" s="53"/>
      <c r="I101" s="55">
        <f>J92+J93+J95+J97+J98+J99+SUM(J96:J96)</f>
        <v>114551.6</v>
      </c>
      <c r="J101" s="55"/>
      <c r="K101" s="56">
        <f>IF(Source!I41&lt;&gt;0, ROUND(I101/Source!I41, 2), 0)</f>
        <v>116001.62</v>
      </c>
      <c r="P101" s="43">
        <f>J92+J93+J95+J97+J98+J99+SUM(J96:J96)</f>
        <v>114551.6</v>
      </c>
    </row>
    <row r="103" spans="1:22" ht="71.25" x14ac:dyDescent="0.2">
      <c r="A103" s="34" t="str">
        <f>Source!E43</f>
        <v>7</v>
      </c>
      <c r="B103" s="35" t="str">
        <f>Source!F43</f>
        <v>3.15-29-1</v>
      </c>
      <c r="C103" s="35" t="s">
        <v>106</v>
      </c>
      <c r="D103" s="36" t="str">
        <f>Source!H43</f>
        <v>100 м2</v>
      </c>
      <c r="E103" s="28">
        <f>Source!I43</f>
        <v>3.95</v>
      </c>
      <c r="F103" s="38"/>
      <c r="G103" s="37"/>
      <c r="H103" s="28"/>
      <c r="I103" s="28"/>
      <c r="J103" s="39"/>
      <c r="K103" s="39"/>
      <c r="Q103">
        <f>ROUND((Source!DN43/100)*ROUND((Source!AF43*Source!AV43)*Source!I43, 2), 2)</f>
        <v>9751.66</v>
      </c>
      <c r="R103">
        <f>Source!X43</f>
        <v>161136.39000000001</v>
      </c>
      <c r="S103">
        <f>ROUND((Source!DO43/100)*ROUND((Source!AF43*Source!AV43)*Source!I43, 2), 2)</f>
        <v>6241.06</v>
      </c>
      <c r="T103">
        <f>Source!Y43</f>
        <v>81562.86</v>
      </c>
      <c r="U103">
        <f>ROUND((175/100)*ROUND((Source!AE43*Source!AV43)*Source!I43, 2), 2)</f>
        <v>34.81</v>
      </c>
      <c r="V103">
        <f>ROUND((157/100)*ROUND(Source!CS43*Source!I43, 2), 2)</f>
        <v>637.03</v>
      </c>
    </row>
    <row r="104" spans="1:22" x14ac:dyDescent="0.2">
      <c r="C104" s="40" t="str">
        <f>"Объем: "&amp;Source!I43&amp;"=395/"&amp;"100"</f>
        <v>Объем: 3,95=395/100</v>
      </c>
    </row>
    <row r="105" spans="1:22" ht="14.25" x14ac:dyDescent="0.2">
      <c r="A105" s="34"/>
      <c r="B105" s="35"/>
      <c r="C105" s="35" t="s">
        <v>675</v>
      </c>
      <c r="D105" s="36"/>
      <c r="E105" s="28"/>
      <c r="F105" s="38">
        <f>Source!AO43</f>
        <v>2094.4</v>
      </c>
      <c r="G105" s="37" t="str">
        <f>Source!DG43</f>
        <v>)*1,15</v>
      </c>
      <c r="H105" s="28">
        <f>Source!AV43</f>
        <v>1.0249999999999999</v>
      </c>
      <c r="I105" s="28">
        <f>IF(Source!BA43&lt;&gt; 0, Source!BA43, 1)</f>
        <v>20.399999999999999</v>
      </c>
      <c r="J105" s="39">
        <f>Source!S43</f>
        <v>198933.81</v>
      </c>
      <c r="K105" s="39"/>
    </row>
    <row r="106" spans="1:22" ht="14.25" x14ac:dyDescent="0.2">
      <c r="A106" s="34"/>
      <c r="B106" s="35"/>
      <c r="C106" s="35" t="s">
        <v>676</v>
      </c>
      <c r="D106" s="36"/>
      <c r="E106" s="28"/>
      <c r="F106" s="38">
        <f>Source!AM43</f>
        <v>19.66</v>
      </c>
      <c r="G106" s="37" t="str">
        <f>Source!DE43</f>
        <v>)*1,25</v>
      </c>
      <c r="H106" s="28">
        <f>Source!AV43</f>
        <v>1.0249999999999999</v>
      </c>
      <c r="I106" s="28">
        <f>IF(Source!BB43&lt;&gt; 0, Source!BB43, 1)</f>
        <v>8.41</v>
      </c>
      <c r="J106" s="39">
        <f>Source!Q43</f>
        <v>836.78</v>
      </c>
      <c r="K106" s="39"/>
    </row>
    <row r="107" spans="1:22" ht="14.25" x14ac:dyDescent="0.2">
      <c r="A107" s="34"/>
      <c r="B107" s="35"/>
      <c r="C107" s="35" t="s">
        <v>677</v>
      </c>
      <c r="D107" s="36"/>
      <c r="E107" s="28"/>
      <c r="F107" s="38">
        <f>Source!AN43</f>
        <v>3.93</v>
      </c>
      <c r="G107" s="37" t="str">
        <f>Source!DF43</f>
        <v>)*1,25</v>
      </c>
      <c r="H107" s="28">
        <f>Source!AV43</f>
        <v>1.0249999999999999</v>
      </c>
      <c r="I107" s="28">
        <f>IF(Source!BS43&lt;&gt; 0, Source!BS43, 1)</f>
        <v>20.399999999999999</v>
      </c>
      <c r="J107" s="41">
        <f>Source!R43</f>
        <v>405.75</v>
      </c>
      <c r="K107" s="39"/>
    </row>
    <row r="108" spans="1:22" ht="14.25" x14ac:dyDescent="0.2">
      <c r="A108" s="34"/>
      <c r="B108" s="35"/>
      <c r="C108" s="35" t="s">
        <v>678</v>
      </c>
      <c r="D108" s="36"/>
      <c r="E108" s="28"/>
      <c r="F108" s="38">
        <f>Source!AL43</f>
        <v>51.82</v>
      </c>
      <c r="G108" s="37" t="str">
        <f>Source!DD43</f>
        <v/>
      </c>
      <c r="H108" s="28">
        <f>Source!AW43</f>
        <v>1</v>
      </c>
      <c r="I108" s="28">
        <f>IF(Source!BC43&lt;&gt; 0, Source!BC43, 1)</f>
        <v>4.6900000000000004</v>
      </c>
      <c r="J108" s="39">
        <f>Source!P43</f>
        <v>959.99</v>
      </c>
      <c r="K108" s="39"/>
    </row>
    <row r="109" spans="1:22" ht="28.5" x14ac:dyDescent="0.2">
      <c r="A109" s="34" t="str">
        <f>Source!E44</f>
        <v>7,1</v>
      </c>
      <c r="B109" s="35" t="str">
        <f>Source!F44</f>
        <v>1.1-1-863</v>
      </c>
      <c r="C109" s="35" t="s">
        <v>112</v>
      </c>
      <c r="D109" s="36" t="str">
        <f>Source!H44</f>
        <v>КОМПЛЕКТ</v>
      </c>
      <c r="E109" s="28">
        <f>Source!I44</f>
        <v>395</v>
      </c>
      <c r="F109" s="38">
        <f>Source!AK44</f>
        <v>21.28</v>
      </c>
      <c r="G109" s="42" t="s">
        <v>3</v>
      </c>
      <c r="H109" s="28">
        <f>Source!AW44</f>
        <v>1</v>
      </c>
      <c r="I109" s="28">
        <f>IF(Source!BC44&lt;&gt; 0, Source!BC44, 1)</f>
        <v>2.99</v>
      </c>
      <c r="J109" s="39">
        <f>Source!O44</f>
        <v>25132.74</v>
      </c>
      <c r="K109" s="39"/>
      <c r="Q109">
        <f>ROUND((Source!DN44/100)*ROUND((Source!AF44*Source!AV44)*Source!I44, 2), 2)</f>
        <v>0</v>
      </c>
      <c r="R109">
        <f>Source!X44</f>
        <v>0</v>
      </c>
      <c r="S109">
        <f>ROUND((Source!DO44/100)*ROUND((Source!AF44*Source!AV44)*Source!I44, 2), 2)</f>
        <v>0</v>
      </c>
      <c r="T109">
        <f>Source!Y44</f>
        <v>0</v>
      </c>
      <c r="U109">
        <f>ROUND((175/100)*ROUND((Source!AE44*Source!AV44)*Source!I44, 2), 2)</f>
        <v>0</v>
      </c>
      <c r="V109">
        <f>ROUND((157/100)*ROUND(Source!CS44*Source!I44, 2), 2)</f>
        <v>0</v>
      </c>
    </row>
    <row r="110" spans="1:22" ht="14.25" x14ac:dyDescent="0.2">
      <c r="A110" s="34"/>
      <c r="B110" s="35"/>
      <c r="C110" s="35" t="s">
        <v>679</v>
      </c>
      <c r="D110" s="36" t="s">
        <v>680</v>
      </c>
      <c r="E110" s="28">
        <f>Source!BZ43</f>
        <v>81</v>
      </c>
      <c r="F110" s="38"/>
      <c r="G110" s="37"/>
      <c r="H110" s="28"/>
      <c r="I110" s="28"/>
      <c r="J110" s="39">
        <f>SUM(R103:R109)</f>
        <v>161136.39000000001</v>
      </c>
      <c r="K110" s="39"/>
    </row>
    <row r="111" spans="1:22" ht="14.25" x14ac:dyDescent="0.2">
      <c r="A111" s="34"/>
      <c r="B111" s="35"/>
      <c r="C111" s="35" t="s">
        <v>681</v>
      </c>
      <c r="D111" s="36" t="s">
        <v>680</v>
      </c>
      <c r="E111" s="28">
        <f>Source!CA43</f>
        <v>41</v>
      </c>
      <c r="F111" s="38"/>
      <c r="G111" s="37"/>
      <c r="H111" s="28"/>
      <c r="I111" s="28"/>
      <c r="J111" s="39">
        <f>SUM(T103:T110)</f>
        <v>81562.86</v>
      </c>
      <c r="K111" s="39"/>
    </row>
    <row r="112" spans="1:22" ht="14.25" x14ac:dyDescent="0.2">
      <c r="A112" s="34"/>
      <c r="B112" s="35"/>
      <c r="C112" s="35" t="s">
        <v>682</v>
      </c>
      <c r="D112" s="36" t="s">
        <v>680</v>
      </c>
      <c r="E112" s="28">
        <f>157</f>
        <v>157</v>
      </c>
      <c r="F112" s="38"/>
      <c r="G112" s="37"/>
      <c r="H112" s="28"/>
      <c r="I112" s="28"/>
      <c r="J112" s="39">
        <f>SUM(V103:V111)</f>
        <v>637.03</v>
      </c>
      <c r="K112" s="39"/>
    </row>
    <row r="113" spans="1:22" ht="14.25" x14ac:dyDescent="0.2">
      <c r="A113" s="46"/>
      <c r="B113" s="47"/>
      <c r="C113" s="47" t="s">
        <v>683</v>
      </c>
      <c r="D113" s="48" t="s">
        <v>684</v>
      </c>
      <c r="E113" s="49">
        <f>Source!AQ43</f>
        <v>176</v>
      </c>
      <c r="F113" s="50"/>
      <c r="G113" s="51" t="str">
        <f>Source!DI43</f>
        <v>)*1,15</v>
      </c>
      <c r="H113" s="49">
        <f>Source!AV43</f>
        <v>1.0249999999999999</v>
      </c>
      <c r="I113" s="49"/>
      <c r="J113" s="52"/>
      <c r="K113" s="52">
        <f>Source!U43</f>
        <v>819.46699999999987</v>
      </c>
    </row>
    <row r="114" spans="1:22" ht="15" x14ac:dyDescent="0.25">
      <c r="A114" s="53"/>
      <c r="B114" s="53"/>
      <c r="C114" s="54" t="s">
        <v>685</v>
      </c>
      <c r="D114" s="53"/>
      <c r="E114" s="53"/>
      <c r="F114" s="53"/>
      <c r="G114" s="53"/>
      <c r="H114" s="53"/>
      <c r="I114" s="55">
        <f>J105+J106+J108+J110+J111+J112+SUM(J109:J109)</f>
        <v>469199.6</v>
      </c>
      <c r="J114" s="55"/>
      <c r="K114" s="56">
        <f>IF(Source!I43&lt;&gt;0, ROUND(I114/Source!I43, 2), 0)</f>
        <v>118784.71</v>
      </c>
      <c r="P114" s="43">
        <f>J105+J106+J108+J110+J111+J112+SUM(J109:J109)</f>
        <v>469199.6</v>
      </c>
    </row>
    <row r="116" spans="1:22" ht="28.5" x14ac:dyDescent="0.2">
      <c r="A116" s="34" t="str">
        <f>Source!E46</f>
        <v>8</v>
      </c>
      <c r="B116" s="35" t="str">
        <f>Source!F46</f>
        <v>3.6-6-10</v>
      </c>
      <c r="C116" s="35" t="s">
        <v>121</v>
      </c>
      <c r="D116" s="36" t="str">
        <f>Source!H46</f>
        <v>1 Т</v>
      </c>
      <c r="E116" s="28">
        <f>Source!I46</f>
        <v>1.8011999999999999</v>
      </c>
      <c r="F116" s="38"/>
      <c r="G116" s="37"/>
      <c r="H116" s="28"/>
      <c r="I116" s="28"/>
      <c r="J116" s="39"/>
      <c r="K116" s="39"/>
      <c r="Q116">
        <f>ROUND((Source!DN46/100)*ROUND((Source!AF46*Source!AV46)*Source!I46, 2), 2)</f>
        <v>248.28</v>
      </c>
      <c r="R116">
        <f>Source!X46</f>
        <v>4051.81</v>
      </c>
      <c r="S116">
        <f>ROUND((Source!DO46/100)*ROUND((Source!AF46*Source!AV46)*Source!I46, 2), 2)</f>
        <v>204.46</v>
      </c>
      <c r="T116">
        <f>Source!Y46</f>
        <v>2443</v>
      </c>
      <c r="U116">
        <f>ROUND((175/100)*ROUND((Source!AE46*Source!AV46)*Source!I46, 2), 2)</f>
        <v>33.090000000000003</v>
      </c>
      <c r="V116">
        <f>ROUND((157/100)*ROUND(Source!CS46*Source!I46, 2), 2)</f>
        <v>605.52</v>
      </c>
    </row>
    <row r="117" spans="1:22" x14ac:dyDescent="0.2">
      <c r="C117" s="40" t="str">
        <f>"Объем: "&amp;Source!I46&amp;"=395*"&amp;"4,56/"&amp;"1000"</f>
        <v>Объем: 1,8012=395*4,56/1000</v>
      </c>
    </row>
    <row r="118" spans="1:22" ht="14.25" x14ac:dyDescent="0.2">
      <c r="A118" s="34"/>
      <c r="B118" s="35"/>
      <c r="C118" s="35" t="s">
        <v>675</v>
      </c>
      <c r="D118" s="36"/>
      <c r="E118" s="28"/>
      <c r="F118" s="38">
        <f>Source!AO46</f>
        <v>134.68</v>
      </c>
      <c r="G118" s="37" t="str">
        <f>Source!DG46</f>
        <v>)*1,15</v>
      </c>
      <c r="H118" s="28">
        <f>Source!AV46</f>
        <v>1.0469999999999999</v>
      </c>
      <c r="I118" s="28">
        <f>IF(Source!BA46&lt;&gt; 0, Source!BA46, 1)</f>
        <v>20.399999999999999</v>
      </c>
      <c r="J118" s="39">
        <f>Source!S46</f>
        <v>5958.54</v>
      </c>
      <c r="K118" s="39"/>
    </row>
    <row r="119" spans="1:22" ht="14.25" x14ac:dyDescent="0.2">
      <c r="A119" s="34"/>
      <c r="B119" s="35"/>
      <c r="C119" s="35" t="s">
        <v>676</v>
      </c>
      <c r="D119" s="36"/>
      <c r="E119" s="28"/>
      <c r="F119" s="38">
        <f>Source!AM46</f>
        <v>30.2</v>
      </c>
      <c r="G119" s="37" t="str">
        <f>Source!DE46</f>
        <v>)*1,25</v>
      </c>
      <c r="H119" s="28">
        <f>Source!AV46</f>
        <v>1.0469999999999999</v>
      </c>
      <c r="I119" s="28">
        <f>IF(Source!BB46&lt;&gt; 0, Source!BB46, 1)</f>
        <v>8.51</v>
      </c>
      <c r="J119" s="39">
        <f>Source!Q46</f>
        <v>605.84</v>
      </c>
      <c r="K119" s="39"/>
    </row>
    <row r="120" spans="1:22" ht="14.25" x14ac:dyDescent="0.2">
      <c r="A120" s="34"/>
      <c r="B120" s="35"/>
      <c r="C120" s="35" t="s">
        <v>677</v>
      </c>
      <c r="D120" s="36"/>
      <c r="E120" s="28"/>
      <c r="F120" s="38">
        <f>Source!AN46</f>
        <v>8.02</v>
      </c>
      <c r="G120" s="37" t="str">
        <f>Source!DF46</f>
        <v>)*1,25</v>
      </c>
      <c r="H120" s="28">
        <f>Source!AV46</f>
        <v>1.0469999999999999</v>
      </c>
      <c r="I120" s="28">
        <f>IF(Source!BS46&lt;&gt; 0, Source!BS46, 1)</f>
        <v>20.399999999999999</v>
      </c>
      <c r="J120" s="41">
        <f>Source!R46</f>
        <v>385.68</v>
      </c>
      <c r="K120" s="39"/>
    </row>
    <row r="121" spans="1:22" ht="14.25" x14ac:dyDescent="0.2">
      <c r="A121" s="34"/>
      <c r="B121" s="35"/>
      <c r="C121" s="35" t="s">
        <v>678</v>
      </c>
      <c r="D121" s="36"/>
      <c r="E121" s="28"/>
      <c r="F121" s="38">
        <f>Source!AL46</f>
        <v>258.91000000000003</v>
      </c>
      <c r="G121" s="37" t="str">
        <f>Source!DD46</f>
        <v/>
      </c>
      <c r="H121" s="28">
        <f>Source!AW46</f>
        <v>1.022</v>
      </c>
      <c r="I121" s="28">
        <f>IF(Source!BC46&lt;&gt; 0, Source!BC46, 1)</f>
        <v>5.36</v>
      </c>
      <c r="J121" s="39">
        <f>Source!P46</f>
        <v>2554.62</v>
      </c>
      <c r="K121" s="39"/>
    </row>
    <row r="122" spans="1:22" ht="28.5" x14ac:dyDescent="0.2">
      <c r="A122" s="34" t="str">
        <f>Source!E47</f>
        <v>8,1</v>
      </c>
      <c r="B122" s="35" t="str">
        <f>Source!F47</f>
        <v>101-9086-1</v>
      </c>
      <c r="C122" s="35" t="s">
        <v>128</v>
      </c>
      <c r="D122" s="36" t="str">
        <f>Source!H47</f>
        <v>т</v>
      </c>
      <c r="E122" s="28">
        <f>Source!I47</f>
        <v>1.8912599999999999</v>
      </c>
      <c r="F122" s="38">
        <f>Source!AK47</f>
        <v>7200</v>
      </c>
      <c r="G122" s="42" t="s">
        <v>3</v>
      </c>
      <c r="H122" s="28">
        <f>Source!AW47</f>
        <v>1</v>
      </c>
      <c r="I122" s="28">
        <f>IF(Source!BC47&lt;&gt; 0, Source!BC47, 1)</f>
        <v>1</v>
      </c>
      <c r="J122" s="39">
        <f>Source!O47</f>
        <v>13617.07</v>
      </c>
      <c r="K122" s="39"/>
      <c r="Q122">
        <f>ROUND((Source!DN47/100)*ROUND((Source!AF47*Source!AV47)*Source!I47, 2), 2)</f>
        <v>0</v>
      </c>
      <c r="R122">
        <f>Source!X47</f>
        <v>0</v>
      </c>
      <c r="S122">
        <f>ROUND((Source!DO47/100)*ROUND((Source!AF47*Source!AV47)*Source!I47, 2), 2)</f>
        <v>0</v>
      </c>
      <c r="T122">
        <f>Source!Y47</f>
        <v>0</v>
      </c>
      <c r="U122">
        <f>ROUND((175/100)*ROUND((Source!AE47*Source!AV47)*Source!I47, 2), 2)</f>
        <v>0</v>
      </c>
      <c r="V122">
        <f>ROUND((157/100)*ROUND(Source!CS47*Source!I47, 2), 2)</f>
        <v>0</v>
      </c>
    </row>
    <row r="123" spans="1:22" ht="14.25" x14ac:dyDescent="0.2">
      <c r="A123" s="34"/>
      <c r="B123" s="35"/>
      <c r="C123" s="35" t="s">
        <v>679</v>
      </c>
      <c r="D123" s="36" t="s">
        <v>680</v>
      </c>
      <c r="E123" s="28">
        <f>Source!BZ46</f>
        <v>68</v>
      </c>
      <c r="F123" s="38"/>
      <c r="G123" s="37"/>
      <c r="H123" s="28"/>
      <c r="I123" s="28"/>
      <c r="J123" s="39">
        <f>SUM(R116:R122)</f>
        <v>4051.81</v>
      </c>
      <c r="K123" s="39"/>
    </row>
    <row r="124" spans="1:22" ht="14.25" x14ac:dyDescent="0.2">
      <c r="A124" s="34"/>
      <c r="B124" s="35"/>
      <c r="C124" s="35" t="s">
        <v>681</v>
      </c>
      <c r="D124" s="36" t="s">
        <v>680</v>
      </c>
      <c r="E124" s="28">
        <f>Source!CA46</f>
        <v>41</v>
      </c>
      <c r="F124" s="38"/>
      <c r="G124" s="37"/>
      <c r="H124" s="28"/>
      <c r="I124" s="28"/>
      <c r="J124" s="39">
        <f>SUM(T116:T123)</f>
        <v>2443</v>
      </c>
      <c r="K124" s="39"/>
    </row>
    <row r="125" spans="1:22" ht="14.25" x14ac:dyDescent="0.2">
      <c r="A125" s="34"/>
      <c r="B125" s="35"/>
      <c r="C125" s="35" t="s">
        <v>682</v>
      </c>
      <c r="D125" s="36" t="s">
        <v>680</v>
      </c>
      <c r="E125" s="28">
        <f>157</f>
        <v>157</v>
      </c>
      <c r="F125" s="38"/>
      <c r="G125" s="37"/>
      <c r="H125" s="28"/>
      <c r="I125" s="28"/>
      <c r="J125" s="39">
        <f>SUM(V116:V124)</f>
        <v>605.52</v>
      </c>
      <c r="K125" s="39"/>
    </row>
    <row r="126" spans="1:22" ht="14.25" x14ac:dyDescent="0.2">
      <c r="A126" s="46"/>
      <c r="B126" s="47"/>
      <c r="C126" s="47" t="s">
        <v>683</v>
      </c>
      <c r="D126" s="48" t="s">
        <v>684</v>
      </c>
      <c r="E126" s="49">
        <f>Source!AQ46</f>
        <v>11.6</v>
      </c>
      <c r="F126" s="50"/>
      <c r="G126" s="51" t="str">
        <f>Source!DI46</f>
        <v>)*1,15</v>
      </c>
      <c r="H126" s="49">
        <f>Source!AV46</f>
        <v>1.0469999999999999</v>
      </c>
      <c r="I126" s="49"/>
      <c r="J126" s="52"/>
      <c r="K126" s="52">
        <f>Source!U46</f>
        <v>25.157324375999995</v>
      </c>
    </row>
    <row r="127" spans="1:22" ht="15" x14ac:dyDescent="0.25">
      <c r="A127" s="53"/>
      <c r="B127" s="53"/>
      <c r="C127" s="54" t="s">
        <v>685</v>
      </c>
      <c r="D127" s="53"/>
      <c r="E127" s="53"/>
      <c r="F127" s="53"/>
      <c r="G127" s="53"/>
      <c r="H127" s="53"/>
      <c r="I127" s="55">
        <f>J118+J119+J121+J123+J124+J125+SUM(J122:J122)</f>
        <v>29836.400000000001</v>
      </c>
      <c r="J127" s="55"/>
      <c r="K127" s="56">
        <f>IF(Source!I46&lt;&gt;0, ROUND(I127/Source!I46, 2), 0)</f>
        <v>16564.73</v>
      </c>
      <c r="P127" s="43">
        <f>J118+J119+J121+J123+J124+J125+SUM(J122:J122)</f>
        <v>29836.400000000001</v>
      </c>
    </row>
    <row r="129" spans="1:22" ht="28.5" x14ac:dyDescent="0.2">
      <c r="A129" s="34" t="str">
        <f>Source!E48</f>
        <v>9</v>
      </c>
      <c r="B129" s="35" t="str">
        <f>Source!F48</f>
        <v>3.11-10-1</v>
      </c>
      <c r="C129" s="35" t="s">
        <v>134</v>
      </c>
      <c r="D129" s="36" t="str">
        <f>Source!H48</f>
        <v>100 м2 стяжки</v>
      </c>
      <c r="E129" s="28">
        <f>Source!I48</f>
        <v>3.95</v>
      </c>
      <c r="F129" s="38"/>
      <c r="G129" s="37"/>
      <c r="H129" s="28"/>
      <c r="I129" s="28"/>
      <c r="J129" s="39"/>
      <c r="K129" s="39"/>
      <c r="Q129">
        <f>ROUND((Source!DN48/100)*ROUND((Source!AF48*Source!AV48)*Source!I48, 2), 2)</f>
        <v>1201.29</v>
      </c>
      <c r="R129">
        <f>Source!X48</f>
        <v>20029.25</v>
      </c>
      <c r="S129">
        <f>ROUND((Source!DO48/100)*ROUND((Source!AF48*Source!AV48)*Source!I48, 2), 2)</f>
        <v>808.56</v>
      </c>
      <c r="T129">
        <f>Source!Y48</f>
        <v>9661.17</v>
      </c>
      <c r="U129">
        <f>ROUND((175/100)*ROUND((Source!AE48*Source!AV48)*Source!I48, 2), 2)</f>
        <v>2.8</v>
      </c>
      <c r="V129">
        <f>ROUND((157/100)*ROUND(Source!CS48*Source!I48, 2), 2)</f>
        <v>51.32</v>
      </c>
    </row>
    <row r="130" spans="1:22" x14ac:dyDescent="0.2">
      <c r="C130" s="40" t="str">
        <f>"Объем: "&amp;Source!I48&amp;"=395/"&amp;"100"</f>
        <v>Объем: 3,95=395/100</v>
      </c>
    </row>
    <row r="131" spans="1:22" ht="14.25" x14ac:dyDescent="0.2">
      <c r="A131" s="34"/>
      <c r="B131" s="35"/>
      <c r="C131" s="35" t="s">
        <v>675</v>
      </c>
      <c r="D131" s="36"/>
      <c r="E131" s="28"/>
      <c r="F131" s="38">
        <f>Source!AO48</f>
        <v>242.87</v>
      </c>
      <c r="G131" s="37" t="str">
        <f>Source!DG48</f>
        <v>)*1,15</v>
      </c>
      <c r="H131" s="28">
        <f>Source!AV48</f>
        <v>1.0469999999999999</v>
      </c>
      <c r="I131" s="28">
        <f>IF(Source!BA48&lt;&gt; 0, Source!BA48, 1)</f>
        <v>20.399999999999999</v>
      </c>
      <c r="J131" s="39">
        <f>Source!S48</f>
        <v>23563.82</v>
      </c>
      <c r="K131" s="39"/>
    </row>
    <row r="132" spans="1:22" ht="14.25" x14ac:dyDescent="0.2">
      <c r="A132" s="34"/>
      <c r="B132" s="35"/>
      <c r="C132" s="35" t="s">
        <v>676</v>
      </c>
      <c r="D132" s="36"/>
      <c r="E132" s="28"/>
      <c r="F132" s="38">
        <f>Source!AM48</f>
        <v>12.59</v>
      </c>
      <c r="G132" s="37" t="str">
        <f>Source!DE48</f>
        <v>)*1,25</v>
      </c>
      <c r="H132" s="28">
        <f>Source!AV48</f>
        <v>1.0469999999999999</v>
      </c>
      <c r="I132" s="28">
        <f>IF(Source!BB48&lt;&gt; 0, Source!BB48, 1)</f>
        <v>1.37</v>
      </c>
      <c r="J132" s="39">
        <f>Source!Q48</f>
        <v>89.17</v>
      </c>
      <c r="K132" s="39"/>
    </row>
    <row r="133" spans="1:22" ht="14.25" x14ac:dyDescent="0.2">
      <c r="A133" s="34"/>
      <c r="B133" s="35"/>
      <c r="C133" s="35" t="s">
        <v>677</v>
      </c>
      <c r="D133" s="36"/>
      <c r="E133" s="28"/>
      <c r="F133" s="38">
        <f>Source!AN48</f>
        <v>0.31</v>
      </c>
      <c r="G133" s="37" t="str">
        <f>Source!DF48</f>
        <v>)*1,25</v>
      </c>
      <c r="H133" s="28">
        <f>Source!AV48</f>
        <v>1.0469999999999999</v>
      </c>
      <c r="I133" s="28">
        <f>IF(Source!BS48&lt;&gt; 0, Source!BS48, 1)</f>
        <v>20.399999999999999</v>
      </c>
      <c r="J133" s="41">
        <f>Source!R48</f>
        <v>32.69</v>
      </c>
      <c r="K133" s="39"/>
    </row>
    <row r="134" spans="1:22" ht="14.25" x14ac:dyDescent="0.2">
      <c r="A134" s="34"/>
      <c r="B134" s="35"/>
      <c r="C134" s="35" t="s">
        <v>678</v>
      </c>
      <c r="D134" s="36"/>
      <c r="E134" s="28"/>
      <c r="F134" s="38">
        <f>Source!AL48</f>
        <v>24.75</v>
      </c>
      <c r="G134" s="37" t="str">
        <f>Source!DD48</f>
        <v/>
      </c>
      <c r="H134" s="28">
        <f>Source!AW48</f>
        <v>1</v>
      </c>
      <c r="I134" s="28">
        <f>IF(Source!BC48&lt;&gt; 0, Source!BC48, 1)</f>
        <v>4.24</v>
      </c>
      <c r="J134" s="39">
        <f>Source!P48</f>
        <v>414.51</v>
      </c>
      <c r="K134" s="39"/>
    </row>
    <row r="135" spans="1:22" ht="14.25" x14ac:dyDescent="0.2">
      <c r="A135" s="34" t="str">
        <f>Source!E49</f>
        <v>9,1</v>
      </c>
      <c r="B135" s="35" t="str">
        <f>Source!F49</f>
        <v>1.3-2-5</v>
      </c>
      <c r="C135" s="35" t="s">
        <v>139</v>
      </c>
      <c r="D135" s="36" t="str">
        <f>Source!H49</f>
        <v>м3</v>
      </c>
      <c r="E135" s="28">
        <f>Source!I49</f>
        <v>8.0579999999999998</v>
      </c>
      <c r="F135" s="38">
        <f>Source!AK49</f>
        <v>451.14</v>
      </c>
      <c r="G135" s="42" t="s">
        <v>3</v>
      </c>
      <c r="H135" s="28">
        <f>Source!AW49</f>
        <v>1</v>
      </c>
      <c r="I135" s="28">
        <f>IF(Source!BC49&lt;&gt; 0, Source!BC49, 1)</f>
        <v>6.84</v>
      </c>
      <c r="J135" s="39">
        <f>Source!O49</f>
        <v>24865.360000000001</v>
      </c>
      <c r="K135" s="39"/>
      <c r="Q135">
        <f>ROUND((Source!DN49/100)*ROUND((Source!AF49*Source!AV49)*Source!I49, 2), 2)</f>
        <v>0</v>
      </c>
      <c r="R135">
        <f>Source!X49</f>
        <v>0</v>
      </c>
      <c r="S135">
        <f>ROUND((Source!DO49/100)*ROUND((Source!AF49*Source!AV49)*Source!I49, 2), 2)</f>
        <v>0</v>
      </c>
      <c r="T135">
        <f>Source!Y49</f>
        <v>0</v>
      </c>
      <c r="U135">
        <f>ROUND((175/100)*ROUND((Source!AE49*Source!AV49)*Source!I49, 2), 2)</f>
        <v>0</v>
      </c>
      <c r="V135">
        <f>ROUND((157/100)*ROUND(Source!CS49*Source!I49, 2), 2)</f>
        <v>0</v>
      </c>
    </row>
    <row r="136" spans="1:22" ht="14.25" x14ac:dyDescent="0.2">
      <c r="A136" s="34"/>
      <c r="B136" s="35"/>
      <c r="C136" s="35" t="s">
        <v>679</v>
      </c>
      <c r="D136" s="36" t="s">
        <v>680</v>
      </c>
      <c r="E136" s="28">
        <f>Source!BZ48</f>
        <v>85</v>
      </c>
      <c r="F136" s="38"/>
      <c r="G136" s="37"/>
      <c r="H136" s="28"/>
      <c r="I136" s="28"/>
      <c r="J136" s="39">
        <f>SUM(R129:R135)</f>
        <v>20029.25</v>
      </c>
      <c r="K136" s="39"/>
    </row>
    <row r="137" spans="1:22" ht="14.25" x14ac:dyDescent="0.2">
      <c r="A137" s="34"/>
      <c r="B137" s="35"/>
      <c r="C137" s="35" t="s">
        <v>681</v>
      </c>
      <c r="D137" s="36" t="s">
        <v>680</v>
      </c>
      <c r="E137" s="28">
        <f>Source!CA48</f>
        <v>41</v>
      </c>
      <c r="F137" s="38"/>
      <c r="G137" s="37"/>
      <c r="H137" s="28"/>
      <c r="I137" s="28"/>
      <c r="J137" s="39">
        <f>SUM(T129:T136)</f>
        <v>9661.17</v>
      </c>
      <c r="K137" s="39"/>
    </row>
    <row r="138" spans="1:22" ht="14.25" x14ac:dyDescent="0.2">
      <c r="A138" s="34"/>
      <c r="B138" s="35"/>
      <c r="C138" s="35" t="s">
        <v>682</v>
      </c>
      <c r="D138" s="36" t="s">
        <v>680</v>
      </c>
      <c r="E138" s="28">
        <f>157</f>
        <v>157</v>
      </c>
      <c r="F138" s="38"/>
      <c r="G138" s="37"/>
      <c r="H138" s="28"/>
      <c r="I138" s="28"/>
      <c r="J138" s="39">
        <f>SUM(V129:V137)</f>
        <v>51.32</v>
      </c>
      <c r="K138" s="39"/>
    </row>
    <row r="139" spans="1:22" ht="14.25" x14ac:dyDescent="0.2">
      <c r="A139" s="46"/>
      <c r="B139" s="47"/>
      <c r="C139" s="47" t="s">
        <v>683</v>
      </c>
      <c r="D139" s="48" t="s">
        <v>684</v>
      </c>
      <c r="E139" s="49">
        <f>Source!AQ48</f>
        <v>23.33</v>
      </c>
      <c r="F139" s="50"/>
      <c r="G139" s="51" t="str">
        <f>Source!DI48</f>
        <v>)*1,15</v>
      </c>
      <c r="H139" s="49">
        <f>Source!AV48</f>
        <v>1.0469999999999999</v>
      </c>
      <c r="I139" s="49"/>
      <c r="J139" s="52"/>
      <c r="K139" s="52">
        <f>Source!U48</f>
        <v>110.95742167499998</v>
      </c>
    </row>
    <row r="140" spans="1:22" ht="15" x14ac:dyDescent="0.25">
      <c r="A140" s="53"/>
      <c r="B140" s="53"/>
      <c r="C140" s="54" t="s">
        <v>685</v>
      </c>
      <c r="D140" s="53"/>
      <c r="E140" s="53"/>
      <c r="F140" s="53"/>
      <c r="G140" s="53"/>
      <c r="H140" s="53"/>
      <c r="I140" s="55">
        <f>J131+J132+J134+J136+J137+J138+SUM(J135:J135)</f>
        <v>78674.600000000006</v>
      </c>
      <c r="J140" s="55"/>
      <c r="K140" s="56">
        <f>IF(Source!I48&lt;&gt;0, ROUND(I140/Source!I48, 2), 0)</f>
        <v>19917.62</v>
      </c>
      <c r="P140" s="43">
        <f>J131+J132+J134+J136+J137+J138+SUM(J135:J135)</f>
        <v>78674.600000000006</v>
      </c>
    </row>
    <row r="142" spans="1:22" ht="57" x14ac:dyDescent="0.2">
      <c r="A142" s="34" t="str">
        <f>Source!E50</f>
        <v>10</v>
      </c>
      <c r="B142" s="35" t="str">
        <f>Source!F50</f>
        <v>3.11-10-2</v>
      </c>
      <c r="C142" s="35" t="s">
        <v>144</v>
      </c>
      <c r="D142" s="36" t="str">
        <f>Source!H50</f>
        <v>100 м2 стяжки</v>
      </c>
      <c r="E142" s="28">
        <f>Source!I50</f>
        <v>3.95</v>
      </c>
      <c r="F142" s="38"/>
      <c r="G142" s="37"/>
      <c r="H142" s="28"/>
      <c r="I142" s="28"/>
      <c r="J142" s="39"/>
      <c r="K142" s="39"/>
      <c r="Q142">
        <f>ROUND((Source!DN50/100)*ROUND((Source!AF50*Source!AV50)*Source!I50, 2), 2)</f>
        <v>133.55000000000001</v>
      </c>
      <c r="R142">
        <f>Source!X50</f>
        <v>2226.66</v>
      </c>
      <c r="S142">
        <f>ROUND((Source!DO50/100)*ROUND((Source!AF50*Source!AV50)*Source!I50, 2), 2)</f>
        <v>89.89</v>
      </c>
      <c r="T142">
        <f>Source!Y50</f>
        <v>1074.04</v>
      </c>
      <c r="U142">
        <f>ROUND((175/100)*ROUND((Source!AE50*Source!AV50)*Source!I50, 2), 2)</f>
        <v>4.34</v>
      </c>
      <c r="V142">
        <f>ROUND((157/100)*ROUND(Source!CS50*Source!I50, 2), 2)</f>
        <v>79.47</v>
      </c>
    </row>
    <row r="143" spans="1:22" x14ac:dyDescent="0.2">
      <c r="C143" s="40" t="str">
        <f>"Объем: "&amp;Source!I50&amp;"=395/"&amp;"100"</f>
        <v>Объем: 3,95=395/100</v>
      </c>
    </row>
    <row r="144" spans="1:22" ht="14.25" x14ac:dyDescent="0.2">
      <c r="A144" s="34"/>
      <c r="B144" s="35"/>
      <c r="C144" s="35" t="s">
        <v>675</v>
      </c>
      <c r="D144" s="36"/>
      <c r="E144" s="28"/>
      <c r="F144" s="38">
        <f>Source!AO50</f>
        <v>4.5</v>
      </c>
      <c r="G144" s="37" t="str">
        <f>Source!DG50</f>
        <v>)*1,15)*6</v>
      </c>
      <c r="H144" s="28">
        <f>Source!AV50</f>
        <v>1.0469999999999999</v>
      </c>
      <c r="I144" s="28">
        <f>IF(Source!BA50&lt;&gt; 0, Source!BA50, 1)</f>
        <v>20.399999999999999</v>
      </c>
      <c r="J144" s="39">
        <f>Source!S50</f>
        <v>2619.6</v>
      </c>
      <c r="K144" s="39"/>
    </row>
    <row r="145" spans="1:22" ht="14.25" x14ac:dyDescent="0.2">
      <c r="A145" s="34"/>
      <c r="B145" s="35"/>
      <c r="C145" s="35" t="s">
        <v>676</v>
      </c>
      <c r="D145" s="36"/>
      <c r="E145" s="28"/>
      <c r="F145" s="38">
        <f>Source!AM50</f>
        <v>3.22</v>
      </c>
      <c r="G145" s="37" t="str">
        <f>Source!DE50</f>
        <v>)*1,25)*6</v>
      </c>
      <c r="H145" s="28">
        <f>Source!AV50</f>
        <v>1.0469999999999999</v>
      </c>
      <c r="I145" s="28">
        <f>IF(Source!BB50&lt;&gt; 0, Source!BB50, 1)</f>
        <v>1.37</v>
      </c>
      <c r="J145" s="39">
        <f>Source!Q50</f>
        <v>136.83000000000001</v>
      </c>
      <c r="K145" s="39"/>
    </row>
    <row r="146" spans="1:22" ht="14.25" x14ac:dyDescent="0.2">
      <c r="A146" s="34"/>
      <c r="B146" s="35"/>
      <c r="C146" s="35" t="s">
        <v>677</v>
      </c>
      <c r="D146" s="36"/>
      <c r="E146" s="28"/>
      <c r="F146" s="38">
        <f>Source!AN50</f>
        <v>0.08</v>
      </c>
      <c r="G146" s="37" t="str">
        <f>Source!DF50</f>
        <v>)*1,25)*6</v>
      </c>
      <c r="H146" s="28">
        <f>Source!AV50</f>
        <v>1.0469999999999999</v>
      </c>
      <c r="I146" s="28">
        <f>IF(Source!BS50&lt;&gt; 0, Source!BS50, 1)</f>
        <v>20.399999999999999</v>
      </c>
      <c r="J146" s="41">
        <f>Source!R50</f>
        <v>50.62</v>
      </c>
      <c r="K146" s="39"/>
    </row>
    <row r="147" spans="1:22" ht="14.25" x14ac:dyDescent="0.2">
      <c r="A147" s="34" t="str">
        <f>Source!E51</f>
        <v>10,1</v>
      </c>
      <c r="B147" s="35" t="str">
        <f>Source!F51</f>
        <v>1.3-2-5</v>
      </c>
      <c r="C147" s="35" t="s">
        <v>139</v>
      </c>
      <c r="D147" s="36" t="str">
        <f>Source!H51</f>
        <v>м3</v>
      </c>
      <c r="E147" s="28">
        <f>Source!I51</f>
        <v>12.087</v>
      </c>
      <c r="F147" s="38">
        <f>Source!AK51</f>
        <v>451.14</v>
      </c>
      <c r="G147" s="42" t="s">
        <v>686</v>
      </c>
      <c r="H147" s="28">
        <f>Source!AW51</f>
        <v>1</v>
      </c>
      <c r="I147" s="28">
        <f>IF(Source!BC51&lt;&gt; 0, Source!BC51, 1)</f>
        <v>6.84</v>
      </c>
      <c r="J147" s="39">
        <f>Source!O51</f>
        <v>37298.04</v>
      </c>
      <c r="K147" s="39"/>
      <c r="Q147">
        <f>ROUND((Source!DN51/100)*ROUND((Source!AF51*Source!AV51)*Source!I51, 2), 2)</f>
        <v>0</v>
      </c>
      <c r="R147">
        <f>Source!X51</f>
        <v>0</v>
      </c>
      <c r="S147">
        <f>ROUND((Source!DO51/100)*ROUND((Source!AF51*Source!AV51)*Source!I51, 2), 2)</f>
        <v>0</v>
      </c>
      <c r="T147">
        <f>Source!Y51</f>
        <v>0</v>
      </c>
      <c r="U147">
        <f>ROUND((175/100)*ROUND((Source!AE51*Source!AV51)*Source!I51, 2), 2)</f>
        <v>0</v>
      </c>
      <c r="V147">
        <f>ROUND((157/100)*ROUND(Source!CS51*Source!I51, 2), 2)</f>
        <v>0</v>
      </c>
    </row>
    <row r="148" spans="1:22" ht="14.25" x14ac:dyDescent="0.2">
      <c r="A148" s="34"/>
      <c r="B148" s="35"/>
      <c r="C148" s="35" t="s">
        <v>679</v>
      </c>
      <c r="D148" s="36" t="s">
        <v>680</v>
      </c>
      <c r="E148" s="28">
        <f>Source!BZ50</f>
        <v>85</v>
      </c>
      <c r="F148" s="38"/>
      <c r="G148" s="37"/>
      <c r="H148" s="28"/>
      <c r="I148" s="28"/>
      <c r="J148" s="39">
        <f>SUM(R142:R147)</f>
        <v>2226.66</v>
      </c>
      <c r="K148" s="39"/>
    </row>
    <row r="149" spans="1:22" ht="14.25" x14ac:dyDescent="0.2">
      <c r="A149" s="34"/>
      <c r="B149" s="35"/>
      <c r="C149" s="35" t="s">
        <v>681</v>
      </c>
      <c r="D149" s="36" t="s">
        <v>680</v>
      </c>
      <c r="E149" s="28">
        <f>Source!CA50</f>
        <v>41</v>
      </c>
      <c r="F149" s="38"/>
      <c r="G149" s="37"/>
      <c r="H149" s="28"/>
      <c r="I149" s="28"/>
      <c r="J149" s="39">
        <f>SUM(T142:T148)</f>
        <v>1074.04</v>
      </c>
      <c r="K149" s="39"/>
    </row>
    <row r="150" spans="1:22" ht="14.25" x14ac:dyDescent="0.2">
      <c r="A150" s="34"/>
      <c r="B150" s="35"/>
      <c r="C150" s="35" t="s">
        <v>682</v>
      </c>
      <c r="D150" s="36" t="s">
        <v>680</v>
      </c>
      <c r="E150" s="28">
        <f>157</f>
        <v>157</v>
      </c>
      <c r="F150" s="38"/>
      <c r="G150" s="37"/>
      <c r="H150" s="28"/>
      <c r="I150" s="28"/>
      <c r="J150" s="39">
        <f>SUM(V142:V149)</f>
        <v>79.47</v>
      </c>
      <c r="K150" s="39"/>
    </row>
    <row r="151" spans="1:22" ht="14.25" x14ac:dyDescent="0.2">
      <c r="A151" s="46"/>
      <c r="B151" s="47"/>
      <c r="C151" s="47" t="s">
        <v>683</v>
      </c>
      <c r="D151" s="48" t="s">
        <v>684</v>
      </c>
      <c r="E151" s="49">
        <f>Source!AQ50</f>
        <v>0.44</v>
      </c>
      <c r="F151" s="50"/>
      <c r="G151" s="51" t="str">
        <f>Source!DI50</f>
        <v>)*1,15)*6</v>
      </c>
      <c r="H151" s="49">
        <f>Source!AV50</f>
        <v>1.0469999999999999</v>
      </c>
      <c r="I151" s="49"/>
      <c r="J151" s="52"/>
      <c r="K151" s="52">
        <f>Source!U50</f>
        <v>12.555833399999999</v>
      </c>
    </row>
    <row r="152" spans="1:22" ht="15" x14ac:dyDescent="0.25">
      <c r="A152" s="53"/>
      <c r="B152" s="53"/>
      <c r="C152" s="54" t="s">
        <v>685</v>
      </c>
      <c r="D152" s="53"/>
      <c r="E152" s="53"/>
      <c r="F152" s="53"/>
      <c r="G152" s="53"/>
      <c r="H152" s="53"/>
      <c r="I152" s="55">
        <f>J144+J145+J148+J149+J150+SUM(J147:J147)</f>
        <v>43434.64</v>
      </c>
      <c r="J152" s="55"/>
      <c r="K152" s="56">
        <f>IF(Source!I50&lt;&gt;0, ROUND(I152/Source!I50, 2), 0)</f>
        <v>10996.11</v>
      </c>
      <c r="P152" s="43">
        <f>J144+J145+J148+J149+J150+SUM(J147:J147)</f>
        <v>43434.64</v>
      </c>
    </row>
    <row r="154" spans="1:22" ht="42.75" x14ac:dyDescent="0.2">
      <c r="A154" s="34" t="str">
        <f>Source!E52</f>
        <v>11</v>
      </c>
      <c r="B154" s="35" t="str">
        <f>Source!F52</f>
        <v>3.11-10-11</v>
      </c>
      <c r="C154" s="35" t="s">
        <v>152</v>
      </c>
      <c r="D154" s="36" t="str">
        <f>Source!H52</f>
        <v>100 м2 стяжки</v>
      </c>
      <c r="E154" s="28">
        <f>Source!I52</f>
        <v>3.95</v>
      </c>
      <c r="F154" s="38"/>
      <c r="G154" s="37"/>
      <c r="H154" s="28"/>
      <c r="I154" s="28"/>
      <c r="J154" s="39"/>
      <c r="K154" s="39"/>
      <c r="Q154">
        <f>ROUND((Source!DN52/100)*ROUND((Source!AF52*Source!AV52)*Source!I52, 2), 2)</f>
        <v>1936.3</v>
      </c>
      <c r="R154">
        <f>Source!X52</f>
        <v>32284.14</v>
      </c>
      <c r="S154">
        <f>ROUND((Source!DO52/100)*ROUND((Source!AF52*Source!AV52)*Source!I52, 2), 2)</f>
        <v>1303.28</v>
      </c>
      <c r="T154">
        <f>Source!Y52</f>
        <v>15572.35</v>
      </c>
      <c r="U154">
        <f>ROUND((175/100)*ROUND((Source!AE52*Source!AV52)*Source!I52, 2), 2)</f>
        <v>83.14</v>
      </c>
      <c r="V154">
        <f>ROUND((157/100)*ROUND(Source!CS52*Source!I52, 2), 2)</f>
        <v>1521.6</v>
      </c>
    </row>
    <row r="155" spans="1:22" x14ac:dyDescent="0.2">
      <c r="C155" s="40" t="str">
        <f>"Объем: "&amp;Source!I52&amp;"=395/"&amp;"100"</f>
        <v>Объем: 3,95=395/100</v>
      </c>
    </row>
    <row r="156" spans="1:22" ht="14.25" x14ac:dyDescent="0.2">
      <c r="A156" s="34"/>
      <c r="B156" s="35"/>
      <c r="C156" s="35" t="s">
        <v>675</v>
      </c>
      <c r="D156" s="36"/>
      <c r="E156" s="28"/>
      <c r="F156" s="38">
        <f>Source!AO52</f>
        <v>391.47</v>
      </c>
      <c r="G156" s="37" t="str">
        <f>Source!DG52</f>
        <v>)*1,15</v>
      </c>
      <c r="H156" s="28">
        <f>Source!AV52</f>
        <v>1.0469999999999999</v>
      </c>
      <c r="I156" s="28">
        <f>IF(Source!BA52&lt;&gt; 0, Source!BA52, 1)</f>
        <v>20.399999999999999</v>
      </c>
      <c r="J156" s="39">
        <f>Source!S52</f>
        <v>37981.339999999997</v>
      </c>
      <c r="K156" s="39"/>
    </row>
    <row r="157" spans="1:22" ht="14.25" x14ac:dyDescent="0.2">
      <c r="A157" s="34"/>
      <c r="B157" s="35"/>
      <c r="C157" s="35" t="s">
        <v>676</v>
      </c>
      <c r="D157" s="36"/>
      <c r="E157" s="28"/>
      <c r="F157" s="38">
        <f>Source!AM52</f>
        <v>65.87</v>
      </c>
      <c r="G157" s="37" t="str">
        <f>Source!DE52</f>
        <v>)*1,25</v>
      </c>
      <c r="H157" s="28">
        <f>Source!AV52</f>
        <v>1.0469999999999999</v>
      </c>
      <c r="I157" s="28">
        <f>IF(Source!BB52&lt;&gt; 0, Source!BB52, 1)</f>
        <v>6.61</v>
      </c>
      <c r="J157" s="39">
        <f>Source!Q52</f>
        <v>2250.83</v>
      </c>
      <c r="K157" s="39"/>
    </row>
    <row r="158" spans="1:22" ht="14.25" x14ac:dyDescent="0.2">
      <c r="A158" s="34"/>
      <c r="B158" s="35"/>
      <c r="C158" s="35" t="s">
        <v>677</v>
      </c>
      <c r="D158" s="36"/>
      <c r="E158" s="28"/>
      <c r="F158" s="38">
        <f>Source!AN52</f>
        <v>9.19</v>
      </c>
      <c r="G158" s="37" t="str">
        <f>Source!DF52</f>
        <v>)*1,25</v>
      </c>
      <c r="H158" s="28">
        <f>Source!AV52</f>
        <v>1.0469999999999999</v>
      </c>
      <c r="I158" s="28">
        <f>IF(Source!BS52&lt;&gt; 0, Source!BS52, 1)</f>
        <v>20.399999999999999</v>
      </c>
      <c r="J158" s="41">
        <f>Source!R52</f>
        <v>969.17</v>
      </c>
      <c r="K158" s="39"/>
    </row>
    <row r="159" spans="1:22" ht="14.25" x14ac:dyDescent="0.2">
      <c r="A159" s="34"/>
      <c r="B159" s="35"/>
      <c r="C159" s="35" t="s">
        <v>678</v>
      </c>
      <c r="D159" s="36"/>
      <c r="E159" s="28"/>
      <c r="F159" s="38">
        <f>Source!AL52</f>
        <v>25.24</v>
      </c>
      <c r="G159" s="37" t="str">
        <f>Source!DD52</f>
        <v/>
      </c>
      <c r="H159" s="28">
        <f>Source!AW52</f>
        <v>1</v>
      </c>
      <c r="I159" s="28">
        <f>IF(Source!BC52&lt;&gt; 0, Source!BC52, 1)</f>
        <v>2.91</v>
      </c>
      <c r="J159" s="39">
        <f>Source!P52</f>
        <v>290.12</v>
      </c>
      <c r="K159" s="39"/>
    </row>
    <row r="160" spans="1:22" ht="57" x14ac:dyDescent="0.2">
      <c r="A160" s="34" t="str">
        <f>Source!E53</f>
        <v>11,1</v>
      </c>
      <c r="B160" s="35" t="str">
        <f>Source!F53</f>
        <v>1.1-1-3107</v>
      </c>
      <c r="C160" s="35" t="s">
        <v>156</v>
      </c>
      <c r="D160" s="36" t="str">
        <f>Source!H53</f>
        <v>кг</v>
      </c>
      <c r="E160" s="28">
        <f>Source!I53</f>
        <v>79</v>
      </c>
      <c r="F160" s="38">
        <f>Source!AK53</f>
        <v>21.24</v>
      </c>
      <c r="G160" s="42" t="s">
        <v>3</v>
      </c>
      <c r="H160" s="28">
        <f>Source!AW53</f>
        <v>1</v>
      </c>
      <c r="I160" s="28">
        <f>IF(Source!BC53&lt;&gt; 0, Source!BC53, 1)</f>
        <v>2.4</v>
      </c>
      <c r="J160" s="39">
        <f>Source!O53</f>
        <v>4027.1</v>
      </c>
      <c r="K160" s="39"/>
      <c r="Q160">
        <f>ROUND((Source!DN53/100)*ROUND((Source!AF53*Source!AV53)*Source!I53, 2), 2)</f>
        <v>0</v>
      </c>
      <c r="R160">
        <f>Source!X53</f>
        <v>0</v>
      </c>
      <c r="S160">
        <f>ROUND((Source!DO53/100)*ROUND((Source!AF53*Source!AV53)*Source!I53, 2), 2)</f>
        <v>0</v>
      </c>
      <c r="T160">
        <f>Source!Y53</f>
        <v>0</v>
      </c>
      <c r="U160">
        <f>ROUND((175/100)*ROUND((Source!AE53*Source!AV53)*Source!I53, 2), 2)</f>
        <v>0</v>
      </c>
      <c r="V160">
        <f>ROUND((157/100)*ROUND(Source!CS53*Source!I53, 2), 2)</f>
        <v>0</v>
      </c>
    </row>
    <row r="161" spans="1:22" ht="71.25" x14ac:dyDescent="0.2">
      <c r="A161" s="34" t="str">
        <f>Source!E54</f>
        <v>11,2</v>
      </c>
      <c r="B161" s="35" t="str">
        <f>Source!F54</f>
        <v>1.3-2-179</v>
      </c>
      <c r="C161" s="35" t="s">
        <v>160</v>
      </c>
      <c r="D161" s="36" t="str">
        <f>Source!H54</f>
        <v>т</v>
      </c>
      <c r="E161" s="28">
        <f>Source!I54</f>
        <v>3.3258999999999999</v>
      </c>
      <c r="F161" s="38">
        <f>Source!AK54</f>
        <v>16698.189999999999</v>
      </c>
      <c r="G161" s="42" t="s">
        <v>3</v>
      </c>
      <c r="H161" s="28">
        <f>Source!AW54</f>
        <v>1</v>
      </c>
      <c r="I161" s="28">
        <f>IF(Source!BC54&lt;&gt; 0, Source!BC54, 1)</f>
        <v>4.1900000000000004</v>
      </c>
      <c r="J161" s="39">
        <f>Source!O54</f>
        <v>232697.98</v>
      </c>
      <c r="K161" s="39"/>
      <c r="Q161">
        <f>ROUND((Source!DN54/100)*ROUND((Source!AF54*Source!AV54)*Source!I54, 2), 2)</f>
        <v>0</v>
      </c>
      <c r="R161">
        <f>Source!X54</f>
        <v>0</v>
      </c>
      <c r="S161">
        <f>ROUND((Source!DO54/100)*ROUND((Source!AF54*Source!AV54)*Source!I54, 2), 2)</f>
        <v>0</v>
      </c>
      <c r="T161">
        <f>Source!Y54</f>
        <v>0</v>
      </c>
      <c r="U161">
        <f>ROUND((175/100)*ROUND((Source!AE54*Source!AV54)*Source!I54, 2), 2)</f>
        <v>0</v>
      </c>
      <c r="V161">
        <f>ROUND((157/100)*ROUND(Source!CS54*Source!I54, 2), 2)</f>
        <v>0</v>
      </c>
    </row>
    <row r="162" spans="1:22" ht="14.25" x14ac:dyDescent="0.2">
      <c r="A162" s="34"/>
      <c r="B162" s="35"/>
      <c r="C162" s="35" t="s">
        <v>679</v>
      </c>
      <c r="D162" s="36" t="s">
        <v>680</v>
      </c>
      <c r="E162" s="28">
        <f>Source!BZ52</f>
        <v>85</v>
      </c>
      <c r="F162" s="38"/>
      <c r="G162" s="37"/>
      <c r="H162" s="28"/>
      <c r="I162" s="28"/>
      <c r="J162" s="39">
        <f>SUM(R154:R161)</f>
        <v>32284.14</v>
      </c>
      <c r="K162" s="39"/>
    </row>
    <row r="163" spans="1:22" ht="14.25" x14ac:dyDescent="0.2">
      <c r="A163" s="34"/>
      <c r="B163" s="35"/>
      <c r="C163" s="35" t="s">
        <v>681</v>
      </c>
      <c r="D163" s="36" t="s">
        <v>680</v>
      </c>
      <c r="E163" s="28">
        <f>Source!CA52</f>
        <v>41</v>
      </c>
      <c r="F163" s="38"/>
      <c r="G163" s="37"/>
      <c r="H163" s="28"/>
      <c r="I163" s="28"/>
      <c r="J163" s="39">
        <f>SUM(T154:T162)</f>
        <v>15572.35</v>
      </c>
      <c r="K163" s="39"/>
    </row>
    <row r="164" spans="1:22" ht="14.25" x14ac:dyDescent="0.2">
      <c r="A164" s="34"/>
      <c r="B164" s="35"/>
      <c r="C164" s="35" t="s">
        <v>682</v>
      </c>
      <c r="D164" s="36" t="s">
        <v>680</v>
      </c>
      <c r="E164" s="28">
        <f>157</f>
        <v>157</v>
      </c>
      <c r="F164" s="38"/>
      <c r="G164" s="37"/>
      <c r="H164" s="28"/>
      <c r="I164" s="28"/>
      <c r="J164" s="39">
        <f>SUM(V154:V163)</f>
        <v>1521.6</v>
      </c>
      <c r="K164" s="39"/>
    </row>
    <row r="165" spans="1:22" ht="14.25" x14ac:dyDescent="0.2">
      <c r="A165" s="46"/>
      <c r="B165" s="47"/>
      <c r="C165" s="47" t="s">
        <v>683</v>
      </c>
      <c r="D165" s="48" t="s">
        <v>684</v>
      </c>
      <c r="E165" s="49">
        <f>Source!AQ52</f>
        <v>33.020000000000003</v>
      </c>
      <c r="F165" s="50"/>
      <c r="G165" s="51" t="str">
        <f>Source!DI52</f>
        <v>)*1,15</v>
      </c>
      <c r="H165" s="49">
        <f>Source!AV52</f>
        <v>1.0469999999999999</v>
      </c>
      <c r="I165" s="49"/>
      <c r="J165" s="52"/>
      <c r="K165" s="52">
        <f>Source!U52</f>
        <v>157.04303745000001</v>
      </c>
    </row>
    <row r="166" spans="1:22" ht="15" x14ac:dyDescent="0.25">
      <c r="A166" s="53"/>
      <c r="B166" s="53"/>
      <c r="C166" s="54" t="s">
        <v>685</v>
      </c>
      <c r="D166" s="53"/>
      <c r="E166" s="53"/>
      <c r="F166" s="53"/>
      <c r="G166" s="53"/>
      <c r="H166" s="53"/>
      <c r="I166" s="55">
        <f>J156+J157+J159+J162+J163+J164+SUM(J160:J161)</f>
        <v>326625.46000000002</v>
      </c>
      <c r="J166" s="55"/>
      <c r="K166" s="56">
        <f>IF(Source!I52&lt;&gt;0, ROUND(I166/Source!I52, 2), 0)</f>
        <v>82689.990000000005</v>
      </c>
      <c r="P166" s="43">
        <f>J156+J157+J159+J162+J163+J164+SUM(J160:J161)</f>
        <v>326625.46000000002</v>
      </c>
    </row>
    <row r="168" spans="1:22" ht="57" x14ac:dyDescent="0.2">
      <c r="A168" s="34" t="str">
        <f>Source!E55</f>
        <v>12</v>
      </c>
      <c r="B168" s="35" t="str">
        <f>Source!F55</f>
        <v>3.11-10-12</v>
      </c>
      <c r="C168" s="35" t="s">
        <v>164</v>
      </c>
      <c r="D168" s="36" t="str">
        <f>Source!H55</f>
        <v>100 м2 стяжки</v>
      </c>
      <c r="E168" s="28">
        <f>Source!I55</f>
        <v>3.95</v>
      </c>
      <c r="F168" s="38"/>
      <c r="G168" s="37"/>
      <c r="H168" s="28"/>
      <c r="I168" s="28"/>
      <c r="J168" s="39"/>
      <c r="K168" s="39"/>
      <c r="Q168">
        <f>ROUND((Source!DN55/100)*ROUND((Source!AF55*Source!AV55)*Source!I55, 2), 2)</f>
        <v>217.98</v>
      </c>
      <c r="R168">
        <f>Source!X55</f>
        <v>3634.4</v>
      </c>
      <c r="S168">
        <f>ROUND((Source!DO55/100)*ROUND((Source!AF55*Source!AV55)*Source!I55, 2), 2)</f>
        <v>146.72</v>
      </c>
      <c r="T168">
        <f>Source!Y55</f>
        <v>1753.07</v>
      </c>
      <c r="U168">
        <f>ROUND((175/100)*ROUND((Source!AE55*Source!AV55)*Source!I55, 2), 2)</f>
        <v>13.21</v>
      </c>
      <c r="V168">
        <f>ROUND((157/100)*ROUND(Source!CS55*Source!I55, 2), 2)</f>
        <v>241.73</v>
      </c>
    </row>
    <row r="169" spans="1:22" x14ac:dyDescent="0.2">
      <c r="C169" s="40" t="str">
        <f>"Объем: "&amp;Source!I55&amp;"=395/"&amp;"100"</f>
        <v>Объем: 3,95=395/100</v>
      </c>
    </row>
    <row r="170" spans="1:22" ht="14.25" x14ac:dyDescent="0.2">
      <c r="A170" s="34"/>
      <c r="B170" s="35"/>
      <c r="C170" s="35" t="s">
        <v>675</v>
      </c>
      <c r="D170" s="36"/>
      <c r="E170" s="28"/>
      <c r="F170" s="38">
        <f>Source!AO55</f>
        <v>44.07</v>
      </c>
      <c r="G170" s="37" t="str">
        <f>Source!DG55</f>
        <v>)*1,15</v>
      </c>
      <c r="H170" s="28">
        <f>Source!AV55</f>
        <v>1.0469999999999999</v>
      </c>
      <c r="I170" s="28">
        <f>IF(Source!BA55&lt;&gt; 0, Source!BA55, 1)</f>
        <v>20.399999999999999</v>
      </c>
      <c r="J170" s="39">
        <f>Source!S55</f>
        <v>4275.7700000000004</v>
      </c>
      <c r="K170" s="39"/>
    </row>
    <row r="171" spans="1:22" ht="14.25" x14ac:dyDescent="0.2">
      <c r="A171" s="34"/>
      <c r="B171" s="35"/>
      <c r="C171" s="35" t="s">
        <v>676</v>
      </c>
      <c r="D171" s="36"/>
      <c r="E171" s="28"/>
      <c r="F171" s="38">
        <f>Source!AM55</f>
        <v>9.1</v>
      </c>
      <c r="G171" s="37" t="str">
        <f>Source!DE55</f>
        <v>)*1,25</v>
      </c>
      <c r="H171" s="28">
        <f>Source!AV55</f>
        <v>1.0469999999999999</v>
      </c>
      <c r="I171" s="28">
        <f>IF(Source!BB55&lt;&gt; 0, Source!BB55, 1)</f>
        <v>7.24</v>
      </c>
      <c r="J171" s="39">
        <f>Source!Q55</f>
        <v>340.59</v>
      </c>
      <c r="K171" s="39"/>
    </row>
    <row r="172" spans="1:22" ht="14.25" x14ac:dyDescent="0.2">
      <c r="A172" s="34"/>
      <c r="B172" s="35"/>
      <c r="C172" s="35" t="s">
        <v>677</v>
      </c>
      <c r="D172" s="36"/>
      <c r="E172" s="28"/>
      <c r="F172" s="38">
        <f>Source!AN55</f>
        <v>1.46</v>
      </c>
      <c r="G172" s="37" t="str">
        <f>Source!DF55</f>
        <v>)*1,25</v>
      </c>
      <c r="H172" s="28">
        <f>Source!AV55</f>
        <v>1.0469999999999999</v>
      </c>
      <c r="I172" s="28">
        <f>IF(Source!BS55&lt;&gt; 0, Source!BS55, 1)</f>
        <v>20.399999999999999</v>
      </c>
      <c r="J172" s="41">
        <f>Source!R55</f>
        <v>153.97</v>
      </c>
      <c r="K172" s="39"/>
    </row>
    <row r="173" spans="1:22" ht="14.25" x14ac:dyDescent="0.2">
      <c r="A173" s="34"/>
      <c r="B173" s="35"/>
      <c r="C173" s="35" t="s">
        <v>678</v>
      </c>
      <c r="D173" s="36"/>
      <c r="E173" s="28"/>
      <c r="F173" s="38">
        <f>Source!AL55</f>
        <v>0.28999999999999998</v>
      </c>
      <c r="G173" s="37" t="str">
        <f>Source!DD55</f>
        <v/>
      </c>
      <c r="H173" s="28">
        <f>Source!AW55</f>
        <v>1</v>
      </c>
      <c r="I173" s="28">
        <f>IF(Source!BC55&lt;&gt; 0, Source!BC55, 1)</f>
        <v>4.17</v>
      </c>
      <c r="J173" s="39">
        <f>Source!P55</f>
        <v>4.78</v>
      </c>
      <c r="K173" s="39"/>
    </row>
    <row r="174" spans="1:22" ht="71.25" x14ac:dyDescent="0.2">
      <c r="A174" s="34" t="str">
        <f>Source!E56</f>
        <v>12,1</v>
      </c>
      <c r="B174" s="35" t="str">
        <f>Source!F56</f>
        <v>1.3-2-179</v>
      </c>
      <c r="C174" s="35" t="s">
        <v>160</v>
      </c>
      <c r="D174" s="36" t="str">
        <f>Source!H56</f>
        <v>т</v>
      </c>
      <c r="E174" s="28">
        <f>Source!I56</f>
        <v>0.66359999999999997</v>
      </c>
      <c r="F174" s="38">
        <f>Source!AK56</f>
        <v>16698.189999999999</v>
      </c>
      <c r="G174" s="42" t="s">
        <v>3</v>
      </c>
      <c r="H174" s="28">
        <f>Source!AW56</f>
        <v>1</v>
      </c>
      <c r="I174" s="28">
        <f>IF(Source!BC56&lt;&gt; 0, Source!BC56, 1)</f>
        <v>4.1900000000000004</v>
      </c>
      <c r="J174" s="39">
        <f>Source!O56</f>
        <v>46429.05</v>
      </c>
      <c r="K174" s="39"/>
      <c r="Q174">
        <f>ROUND((Source!DN56/100)*ROUND((Source!AF56*Source!AV56)*Source!I56, 2), 2)</f>
        <v>0</v>
      </c>
      <c r="R174">
        <f>Source!X56</f>
        <v>0</v>
      </c>
      <c r="S174">
        <f>ROUND((Source!DO56/100)*ROUND((Source!AF56*Source!AV56)*Source!I56, 2), 2)</f>
        <v>0</v>
      </c>
      <c r="T174">
        <f>Source!Y56</f>
        <v>0</v>
      </c>
      <c r="U174">
        <f>ROUND((175/100)*ROUND((Source!AE56*Source!AV56)*Source!I56, 2), 2)</f>
        <v>0</v>
      </c>
      <c r="V174">
        <f>ROUND((157/100)*ROUND(Source!CS56*Source!I56, 2), 2)</f>
        <v>0</v>
      </c>
    </row>
    <row r="175" spans="1:22" ht="14.25" x14ac:dyDescent="0.2">
      <c r="A175" s="34"/>
      <c r="B175" s="35"/>
      <c r="C175" s="35" t="s">
        <v>679</v>
      </c>
      <c r="D175" s="36" t="s">
        <v>680</v>
      </c>
      <c r="E175" s="28">
        <f>Source!BZ55</f>
        <v>85</v>
      </c>
      <c r="F175" s="38"/>
      <c r="G175" s="37"/>
      <c r="H175" s="28"/>
      <c r="I175" s="28"/>
      <c r="J175" s="39">
        <f>SUM(R168:R174)</f>
        <v>3634.4</v>
      </c>
      <c r="K175" s="39"/>
    </row>
    <row r="176" spans="1:22" ht="14.25" x14ac:dyDescent="0.2">
      <c r="A176" s="34"/>
      <c r="B176" s="35"/>
      <c r="C176" s="35" t="s">
        <v>681</v>
      </c>
      <c r="D176" s="36" t="s">
        <v>680</v>
      </c>
      <c r="E176" s="28">
        <f>Source!CA55</f>
        <v>41</v>
      </c>
      <c r="F176" s="38"/>
      <c r="G176" s="37"/>
      <c r="H176" s="28"/>
      <c r="I176" s="28"/>
      <c r="J176" s="39">
        <f>SUM(T168:T175)</f>
        <v>1753.07</v>
      </c>
      <c r="K176" s="39"/>
    </row>
    <row r="177" spans="1:22" ht="14.25" x14ac:dyDescent="0.2">
      <c r="A177" s="34"/>
      <c r="B177" s="35"/>
      <c r="C177" s="35" t="s">
        <v>682</v>
      </c>
      <c r="D177" s="36" t="s">
        <v>680</v>
      </c>
      <c r="E177" s="28">
        <f>157</f>
        <v>157</v>
      </c>
      <c r="F177" s="38"/>
      <c r="G177" s="37"/>
      <c r="H177" s="28"/>
      <c r="I177" s="28"/>
      <c r="J177" s="39">
        <f>SUM(V168:V176)</f>
        <v>241.73</v>
      </c>
      <c r="K177" s="39"/>
    </row>
    <row r="178" spans="1:22" ht="14.25" x14ac:dyDescent="0.2">
      <c r="A178" s="46"/>
      <c r="B178" s="47"/>
      <c r="C178" s="47" t="s">
        <v>683</v>
      </c>
      <c r="D178" s="48" t="s">
        <v>684</v>
      </c>
      <c r="E178" s="49">
        <f>Source!AQ55</f>
        <v>3.44</v>
      </c>
      <c r="F178" s="50"/>
      <c r="G178" s="51" t="str">
        <f>Source!DI55</f>
        <v>)*1,15</v>
      </c>
      <c r="H178" s="49">
        <f>Source!AV55</f>
        <v>1.0469999999999999</v>
      </c>
      <c r="I178" s="49"/>
      <c r="J178" s="52"/>
      <c r="K178" s="52">
        <f>Source!U55</f>
        <v>16.360631399999995</v>
      </c>
    </row>
    <row r="179" spans="1:22" ht="15" x14ac:dyDescent="0.25">
      <c r="A179" s="53"/>
      <c r="B179" s="53"/>
      <c r="C179" s="54" t="s">
        <v>685</v>
      </c>
      <c r="D179" s="53"/>
      <c r="E179" s="53"/>
      <c r="F179" s="53"/>
      <c r="G179" s="53"/>
      <c r="H179" s="53"/>
      <c r="I179" s="55">
        <f>J170+J171+J173+J175+J176+J177+SUM(J174:J174)</f>
        <v>56679.39</v>
      </c>
      <c r="J179" s="55"/>
      <c r="K179" s="56">
        <f>IF(Source!I55&lt;&gt;0, ROUND(I179/Source!I55, 2), 0)</f>
        <v>14349.21</v>
      </c>
      <c r="P179" s="43">
        <f>J170+J171+J173+J175+J176+J177+SUM(J174:J174)</f>
        <v>56679.39</v>
      </c>
    </row>
    <row r="181" spans="1:22" ht="28.5" x14ac:dyDescent="0.2">
      <c r="A181" s="34" t="str">
        <f>Source!E57</f>
        <v>13</v>
      </c>
      <c r="B181" s="35" t="str">
        <f>Source!F57</f>
        <v>3.11-26-2</v>
      </c>
      <c r="C181" s="35" t="s">
        <v>169</v>
      </c>
      <c r="D181" s="36" t="str">
        <f>Source!H57</f>
        <v>100 м2 покрытия</v>
      </c>
      <c r="E181" s="28">
        <f>Source!I57</f>
        <v>3.95</v>
      </c>
      <c r="F181" s="38"/>
      <c r="G181" s="37"/>
      <c r="H181" s="28"/>
      <c r="I181" s="28"/>
      <c r="J181" s="39"/>
      <c r="K181" s="39"/>
      <c r="Q181">
        <f>ROUND((Source!DN57/100)*ROUND((Source!AF57*Source!AV57)*Source!I57, 2), 2)</f>
        <v>2248.46</v>
      </c>
      <c r="R181">
        <f>Source!X57</f>
        <v>37488.76</v>
      </c>
      <c r="S181">
        <f>ROUND((Source!DO57/100)*ROUND((Source!AF57*Source!AV57)*Source!I57, 2), 2)</f>
        <v>1513.39</v>
      </c>
      <c r="T181">
        <f>Source!Y57</f>
        <v>18082.810000000001</v>
      </c>
      <c r="U181">
        <f>ROUND((175/100)*ROUND((Source!AE57*Source!AV57)*Source!I57, 2), 2)</f>
        <v>136.88999999999999</v>
      </c>
      <c r="V181">
        <f>ROUND((157/100)*ROUND(Source!CS57*Source!I57, 2), 2)</f>
        <v>2505.09</v>
      </c>
    </row>
    <row r="182" spans="1:22" x14ac:dyDescent="0.2">
      <c r="C182" s="40" t="str">
        <f>"Объем: "&amp;Source!I57&amp;"=395/"&amp;"100"</f>
        <v>Объем: 3,95=395/100</v>
      </c>
    </row>
    <row r="183" spans="1:22" ht="14.25" x14ac:dyDescent="0.2">
      <c r="A183" s="34"/>
      <c r="B183" s="35"/>
      <c r="C183" s="35" t="s">
        <v>675</v>
      </c>
      <c r="D183" s="36"/>
      <c r="E183" s="28"/>
      <c r="F183" s="38">
        <f>Source!AO57</f>
        <v>454.58</v>
      </c>
      <c r="G183" s="37" t="str">
        <f>Source!DG57</f>
        <v>)*1,15</v>
      </c>
      <c r="H183" s="28">
        <f>Source!AV57</f>
        <v>1.0469999999999999</v>
      </c>
      <c r="I183" s="28">
        <f>IF(Source!BA57&lt;&gt; 0, Source!BA57, 1)</f>
        <v>20.399999999999999</v>
      </c>
      <c r="J183" s="39">
        <f>Source!S57</f>
        <v>44104.42</v>
      </c>
      <c r="K183" s="39"/>
    </row>
    <row r="184" spans="1:22" ht="14.25" x14ac:dyDescent="0.2">
      <c r="A184" s="34"/>
      <c r="B184" s="35"/>
      <c r="C184" s="35" t="s">
        <v>676</v>
      </c>
      <c r="D184" s="36"/>
      <c r="E184" s="28"/>
      <c r="F184" s="38">
        <f>Source!AM57</f>
        <v>64.02</v>
      </c>
      <c r="G184" s="37" t="str">
        <f>Source!DE57</f>
        <v>)*1,25</v>
      </c>
      <c r="H184" s="28">
        <f>Source!AV57</f>
        <v>1.0469999999999999</v>
      </c>
      <c r="I184" s="28">
        <f>IF(Source!BB57&lt;&gt; 0, Source!BB57, 1)</f>
        <v>8.9499999999999993</v>
      </c>
      <c r="J184" s="39">
        <f>Source!Q57</f>
        <v>2962.05</v>
      </c>
      <c r="K184" s="39"/>
    </row>
    <row r="185" spans="1:22" ht="14.25" x14ac:dyDescent="0.2">
      <c r="A185" s="34"/>
      <c r="B185" s="35"/>
      <c r="C185" s="35" t="s">
        <v>677</v>
      </c>
      <c r="D185" s="36"/>
      <c r="E185" s="28"/>
      <c r="F185" s="38">
        <f>Source!AN57</f>
        <v>15.13</v>
      </c>
      <c r="G185" s="37" t="str">
        <f>Source!DF57</f>
        <v>)*1,25</v>
      </c>
      <c r="H185" s="28">
        <f>Source!AV57</f>
        <v>1.0469999999999999</v>
      </c>
      <c r="I185" s="28">
        <f>IF(Source!BS57&lt;&gt; 0, Source!BS57, 1)</f>
        <v>20.399999999999999</v>
      </c>
      <c r="J185" s="41">
        <f>Source!R57</f>
        <v>1595.6</v>
      </c>
      <c r="K185" s="39"/>
    </row>
    <row r="186" spans="1:22" ht="14.25" x14ac:dyDescent="0.2">
      <c r="A186" s="34"/>
      <c r="B186" s="35"/>
      <c r="C186" s="35" t="s">
        <v>678</v>
      </c>
      <c r="D186" s="36"/>
      <c r="E186" s="28"/>
      <c r="F186" s="38">
        <f>Source!AL57</f>
        <v>0.98</v>
      </c>
      <c r="G186" s="37" t="str">
        <f>Source!DD57</f>
        <v/>
      </c>
      <c r="H186" s="28">
        <f>Source!AW57</f>
        <v>1</v>
      </c>
      <c r="I186" s="28">
        <f>IF(Source!BC57&lt;&gt; 0, Source!BC57, 1)</f>
        <v>5.23</v>
      </c>
      <c r="J186" s="39">
        <f>Source!P57</f>
        <v>20.25</v>
      </c>
      <c r="K186" s="39"/>
    </row>
    <row r="187" spans="1:22" ht="14.25" x14ac:dyDescent="0.2">
      <c r="A187" s="34" t="str">
        <f>Source!E58</f>
        <v>13,1</v>
      </c>
      <c r="B187" s="35" t="str">
        <f>Source!F58</f>
        <v>1.1-1-389</v>
      </c>
      <c r="C187" s="35" t="s">
        <v>176</v>
      </c>
      <c r="D187" s="36" t="str">
        <f>Source!H58</f>
        <v>т</v>
      </c>
      <c r="E187" s="28">
        <f>Source!I58</f>
        <v>0.18288499999999999</v>
      </c>
      <c r="F187" s="38">
        <f>Source!AK58</f>
        <v>43326.77</v>
      </c>
      <c r="G187" s="42" t="s">
        <v>3</v>
      </c>
      <c r="H187" s="28">
        <f>Source!AW58</f>
        <v>1</v>
      </c>
      <c r="I187" s="28">
        <f>IF(Source!BC58&lt;&gt; 0, Source!BC58, 1)</f>
        <v>1.29</v>
      </c>
      <c r="J187" s="39">
        <f>Source!O58</f>
        <v>10221.719999999999</v>
      </c>
      <c r="K187" s="39"/>
      <c r="Q187">
        <f>ROUND((Source!DN58/100)*ROUND((Source!AF58*Source!AV58)*Source!I58, 2), 2)</f>
        <v>0</v>
      </c>
      <c r="R187">
        <f>Source!X58</f>
        <v>0</v>
      </c>
      <c r="S187">
        <f>ROUND((Source!DO58/100)*ROUND((Source!AF58*Source!AV58)*Source!I58, 2), 2)</f>
        <v>0</v>
      </c>
      <c r="T187">
        <f>Source!Y58</f>
        <v>0</v>
      </c>
      <c r="U187">
        <f>ROUND((175/100)*ROUND((Source!AE58*Source!AV58)*Source!I58, 2), 2)</f>
        <v>0</v>
      </c>
      <c r="V187">
        <f>ROUND((157/100)*ROUND(Source!CS58*Source!I58, 2), 2)</f>
        <v>0</v>
      </c>
    </row>
    <row r="188" spans="1:22" ht="57" x14ac:dyDescent="0.2">
      <c r="A188" s="34" t="str">
        <f>Source!E59</f>
        <v>13,2</v>
      </c>
      <c r="B188" s="35" t="str">
        <f>Source!F59</f>
        <v>1.1-1-554</v>
      </c>
      <c r="C188" s="35" t="s">
        <v>180</v>
      </c>
      <c r="D188" s="36" t="str">
        <f>Source!H59</f>
        <v>м2</v>
      </c>
      <c r="E188" s="28">
        <f>Source!I59</f>
        <v>422.65</v>
      </c>
      <c r="F188" s="38">
        <f>Source!AK59</f>
        <v>106.73</v>
      </c>
      <c r="G188" s="42" t="s">
        <v>3</v>
      </c>
      <c r="H188" s="28">
        <f>Source!AW59</f>
        <v>1</v>
      </c>
      <c r="I188" s="28">
        <f>IF(Source!BC59&lt;&gt; 0, Source!BC59, 1)</f>
        <v>1.77</v>
      </c>
      <c r="J188" s="39">
        <f>Source!O59</f>
        <v>79843.7</v>
      </c>
      <c r="K188" s="39"/>
      <c r="Q188">
        <f>ROUND((Source!DN59/100)*ROUND((Source!AF59*Source!AV59)*Source!I59, 2), 2)</f>
        <v>0</v>
      </c>
      <c r="R188">
        <f>Source!X59</f>
        <v>0</v>
      </c>
      <c r="S188">
        <f>ROUND((Source!DO59/100)*ROUND((Source!AF59*Source!AV59)*Source!I59, 2), 2)</f>
        <v>0</v>
      </c>
      <c r="T188">
        <f>Source!Y59</f>
        <v>0</v>
      </c>
      <c r="U188">
        <f>ROUND((175/100)*ROUND((Source!AE59*Source!AV59)*Source!I59, 2), 2)</f>
        <v>0</v>
      </c>
      <c r="V188">
        <f>ROUND((157/100)*ROUND(Source!CS59*Source!I59, 2), 2)</f>
        <v>0</v>
      </c>
    </row>
    <row r="189" spans="1:22" ht="14.25" x14ac:dyDescent="0.2">
      <c r="A189" s="34"/>
      <c r="B189" s="35"/>
      <c r="C189" s="35" t="s">
        <v>679</v>
      </c>
      <c r="D189" s="36" t="s">
        <v>680</v>
      </c>
      <c r="E189" s="28">
        <f>Source!BZ57</f>
        <v>85</v>
      </c>
      <c r="F189" s="38"/>
      <c r="G189" s="37"/>
      <c r="H189" s="28"/>
      <c r="I189" s="28"/>
      <c r="J189" s="39">
        <f>SUM(R181:R188)</f>
        <v>37488.76</v>
      </c>
      <c r="K189" s="39"/>
    </row>
    <row r="190" spans="1:22" ht="14.25" x14ac:dyDescent="0.2">
      <c r="A190" s="34"/>
      <c r="B190" s="35"/>
      <c r="C190" s="35" t="s">
        <v>681</v>
      </c>
      <c r="D190" s="36" t="s">
        <v>680</v>
      </c>
      <c r="E190" s="28">
        <f>Source!CA57</f>
        <v>41</v>
      </c>
      <c r="F190" s="38"/>
      <c r="G190" s="37"/>
      <c r="H190" s="28"/>
      <c r="I190" s="28"/>
      <c r="J190" s="39">
        <f>SUM(T181:T189)</f>
        <v>18082.810000000001</v>
      </c>
      <c r="K190" s="39"/>
    </row>
    <row r="191" spans="1:22" ht="14.25" x14ac:dyDescent="0.2">
      <c r="A191" s="34"/>
      <c r="B191" s="35"/>
      <c r="C191" s="35" t="s">
        <v>682</v>
      </c>
      <c r="D191" s="36" t="s">
        <v>680</v>
      </c>
      <c r="E191" s="28">
        <f>157</f>
        <v>157</v>
      </c>
      <c r="F191" s="38"/>
      <c r="G191" s="37"/>
      <c r="H191" s="28"/>
      <c r="I191" s="28"/>
      <c r="J191" s="39">
        <f>SUM(V181:V190)</f>
        <v>2505.09</v>
      </c>
      <c r="K191" s="39"/>
    </row>
    <row r="192" spans="1:22" ht="14.25" x14ac:dyDescent="0.2">
      <c r="A192" s="46"/>
      <c r="B192" s="47"/>
      <c r="C192" s="47" t="s">
        <v>683</v>
      </c>
      <c r="D192" s="48" t="s">
        <v>684</v>
      </c>
      <c r="E192" s="49">
        <f>Source!AQ57</f>
        <v>38.200000000000003</v>
      </c>
      <c r="F192" s="50"/>
      <c r="G192" s="51" t="str">
        <f>Source!DI57</f>
        <v>)*1,15</v>
      </c>
      <c r="H192" s="49">
        <f>Source!AV57</f>
        <v>1.0469999999999999</v>
      </c>
      <c r="I192" s="49"/>
      <c r="J192" s="52"/>
      <c r="K192" s="52">
        <f>Source!U57</f>
        <v>181.67910449999999</v>
      </c>
    </row>
    <row r="193" spans="1:22" ht="15" x14ac:dyDescent="0.25">
      <c r="A193" s="53"/>
      <c r="B193" s="53"/>
      <c r="C193" s="54" t="s">
        <v>685</v>
      </c>
      <c r="D193" s="53"/>
      <c r="E193" s="53"/>
      <c r="F193" s="53"/>
      <c r="G193" s="53"/>
      <c r="H193" s="53"/>
      <c r="I193" s="55">
        <f>J183+J184+J186+J189+J190+J191+SUM(J187:J188)</f>
        <v>195228.79999999999</v>
      </c>
      <c r="J193" s="55"/>
      <c r="K193" s="56">
        <f>IF(Source!I57&lt;&gt;0, ROUND(I193/Source!I57, 2), 0)</f>
        <v>49425.01</v>
      </c>
      <c r="P193" s="43">
        <f>J183+J184+J186+J189+J190+J191+SUM(J187:J188)</f>
        <v>195228.79999999999</v>
      </c>
    </row>
    <row r="195" spans="1:22" ht="42.75" x14ac:dyDescent="0.2">
      <c r="A195" s="34" t="str">
        <f>Source!E60</f>
        <v>14</v>
      </c>
      <c r="B195" s="35" t="str">
        <f>Source!F60</f>
        <v>3.11-29-2</v>
      </c>
      <c r="C195" s="35" t="s">
        <v>184</v>
      </c>
      <c r="D195" s="36" t="str">
        <f>Source!H60</f>
        <v>100 м плинтусов</v>
      </c>
      <c r="E195" s="28">
        <f>Source!I60</f>
        <v>2.98</v>
      </c>
      <c r="F195" s="38"/>
      <c r="G195" s="37"/>
      <c r="H195" s="28"/>
      <c r="I195" s="28"/>
      <c r="J195" s="39"/>
      <c r="K195" s="39"/>
      <c r="Q195">
        <f>ROUND((Source!DN60/100)*ROUND((Source!AF60*Source!AV60)*Source!I60, 2), 2)</f>
        <v>429.4</v>
      </c>
      <c r="R195">
        <f>Source!X60</f>
        <v>7159.32</v>
      </c>
      <c r="S195">
        <f>ROUND((Source!DO60/100)*ROUND((Source!AF60*Source!AV60)*Source!I60, 2), 2)</f>
        <v>289.02</v>
      </c>
      <c r="T195">
        <f>Source!Y60</f>
        <v>3453.32</v>
      </c>
      <c r="U195">
        <f>ROUND((175/100)*ROUND((Source!AE60*Source!AV60)*Source!I60, 2), 2)</f>
        <v>6</v>
      </c>
      <c r="V195">
        <f>ROUND((157/100)*ROUND(Source!CS60*Source!I60, 2), 2)</f>
        <v>109.92</v>
      </c>
    </row>
    <row r="196" spans="1:22" x14ac:dyDescent="0.2">
      <c r="C196" s="40" t="str">
        <f>"Объем: "&amp;Source!I60&amp;"=298/"&amp;"100"</f>
        <v>Объем: 2,98=298/100</v>
      </c>
    </row>
    <row r="197" spans="1:22" ht="14.25" x14ac:dyDescent="0.2">
      <c r="A197" s="34"/>
      <c r="B197" s="35"/>
      <c r="C197" s="35" t="s">
        <v>675</v>
      </c>
      <c r="D197" s="36"/>
      <c r="E197" s="28"/>
      <c r="F197" s="38">
        <f>Source!AO60</f>
        <v>115.07</v>
      </c>
      <c r="G197" s="37" t="str">
        <f>Source!DG60</f>
        <v>)*1,15</v>
      </c>
      <c r="H197" s="28">
        <f>Source!AV60</f>
        <v>1.0469999999999999</v>
      </c>
      <c r="I197" s="28">
        <f>IF(Source!BA60&lt;&gt; 0, Source!BA60, 1)</f>
        <v>20.399999999999999</v>
      </c>
      <c r="J197" s="39">
        <f>Source!S60</f>
        <v>8422.73</v>
      </c>
      <c r="K197" s="39"/>
    </row>
    <row r="198" spans="1:22" ht="14.25" x14ac:dyDescent="0.2">
      <c r="A198" s="34"/>
      <c r="B198" s="35"/>
      <c r="C198" s="35" t="s">
        <v>676</v>
      </c>
      <c r="D198" s="36"/>
      <c r="E198" s="28"/>
      <c r="F198" s="38">
        <f>Source!AM60</f>
        <v>3.72</v>
      </c>
      <c r="G198" s="37" t="str">
        <f>Source!DE60</f>
        <v>)*1,25</v>
      </c>
      <c r="H198" s="28">
        <f>Source!AV60</f>
        <v>1.0469999999999999</v>
      </c>
      <c r="I198" s="28">
        <f>IF(Source!BB60&lt;&gt; 0, Source!BB60, 1)</f>
        <v>8.9499999999999993</v>
      </c>
      <c r="J198" s="39">
        <f>Source!Q60</f>
        <v>129.85</v>
      </c>
      <c r="K198" s="39"/>
    </row>
    <row r="199" spans="1:22" ht="14.25" x14ac:dyDescent="0.2">
      <c r="A199" s="34"/>
      <c r="B199" s="35"/>
      <c r="C199" s="35" t="s">
        <v>677</v>
      </c>
      <c r="D199" s="36"/>
      <c r="E199" s="28"/>
      <c r="F199" s="38">
        <f>Source!AN60</f>
        <v>0.88</v>
      </c>
      <c r="G199" s="37" t="str">
        <f>Source!DF60</f>
        <v>)*1,25</v>
      </c>
      <c r="H199" s="28">
        <f>Source!AV60</f>
        <v>1.0469999999999999</v>
      </c>
      <c r="I199" s="28">
        <f>IF(Source!BS60&lt;&gt; 0, Source!BS60, 1)</f>
        <v>20.399999999999999</v>
      </c>
      <c r="J199" s="41">
        <f>Source!R60</f>
        <v>70.010000000000005</v>
      </c>
      <c r="K199" s="39"/>
    </row>
    <row r="200" spans="1:22" ht="14.25" x14ac:dyDescent="0.2">
      <c r="A200" s="34" t="str">
        <f>Source!E61</f>
        <v>14,1</v>
      </c>
      <c r="B200" s="35" t="str">
        <f>Source!F61</f>
        <v>1.1-1-395</v>
      </c>
      <c r="C200" s="35" t="s">
        <v>189</v>
      </c>
      <c r="D200" s="36" t="str">
        <f>Source!H61</f>
        <v>т</v>
      </c>
      <c r="E200" s="28">
        <f>Source!I61</f>
        <v>1.5347E-2</v>
      </c>
      <c r="F200" s="38">
        <f>Source!AK61</f>
        <v>11373.59</v>
      </c>
      <c r="G200" s="42" t="s">
        <v>3</v>
      </c>
      <c r="H200" s="28">
        <f>Source!AW61</f>
        <v>1</v>
      </c>
      <c r="I200" s="28">
        <f>IF(Source!BC61&lt;&gt; 0, Source!BC61, 1)</f>
        <v>3.01</v>
      </c>
      <c r="J200" s="39">
        <f>Source!O61</f>
        <v>525.4</v>
      </c>
      <c r="K200" s="39"/>
      <c r="Q200">
        <f>ROUND((Source!DN61/100)*ROUND((Source!AF61*Source!AV61)*Source!I61, 2), 2)</f>
        <v>0</v>
      </c>
      <c r="R200">
        <f>Source!X61</f>
        <v>0</v>
      </c>
      <c r="S200">
        <f>ROUND((Source!DO61/100)*ROUND((Source!AF61*Source!AV61)*Source!I61, 2), 2)</f>
        <v>0</v>
      </c>
      <c r="T200">
        <f>Source!Y61</f>
        <v>0</v>
      </c>
      <c r="U200">
        <f>ROUND((175/100)*ROUND((Source!AE61*Source!AV61)*Source!I61, 2), 2)</f>
        <v>0</v>
      </c>
      <c r="V200">
        <f>ROUND((157/100)*ROUND(Source!CS61*Source!I61, 2), 2)</f>
        <v>0</v>
      </c>
    </row>
    <row r="201" spans="1:22" ht="28.5" x14ac:dyDescent="0.2">
      <c r="A201" s="34" t="str">
        <f>Source!E62</f>
        <v>14,2</v>
      </c>
      <c r="B201" s="35" t="str">
        <f>Source!F62</f>
        <v>1.1-1-289</v>
      </c>
      <c r="C201" s="35" t="s">
        <v>193</v>
      </c>
      <c r="D201" s="36" t="str">
        <f>Source!H62</f>
        <v>м</v>
      </c>
      <c r="E201" s="28">
        <f>Source!I62</f>
        <v>298</v>
      </c>
      <c r="F201" s="38">
        <f>Source!AK62</f>
        <v>22.18</v>
      </c>
      <c r="G201" s="42" t="s">
        <v>3</v>
      </c>
      <c r="H201" s="28">
        <f>Source!AW62</f>
        <v>1</v>
      </c>
      <c r="I201" s="28">
        <f>IF(Source!BC62&lt;&gt; 0, Source!BC62, 1)</f>
        <v>1.58</v>
      </c>
      <c r="J201" s="39">
        <f>Source!O62</f>
        <v>10443.23</v>
      </c>
      <c r="K201" s="39"/>
      <c r="Q201">
        <f>ROUND((Source!DN62/100)*ROUND((Source!AF62*Source!AV62)*Source!I62, 2), 2)</f>
        <v>0</v>
      </c>
      <c r="R201">
        <f>Source!X62</f>
        <v>0</v>
      </c>
      <c r="S201">
        <f>ROUND((Source!DO62/100)*ROUND((Source!AF62*Source!AV62)*Source!I62, 2), 2)</f>
        <v>0</v>
      </c>
      <c r="T201">
        <f>Source!Y62</f>
        <v>0</v>
      </c>
      <c r="U201">
        <f>ROUND((175/100)*ROUND((Source!AE62*Source!AV62)*Source!I62, 2), 2)</f>
        <v>0</v>
      </c>
      <c r="V201">
        <f>ROUND((157/100)*ROUND(Source!CS62*Source!I62, 2), 2)</f>
        <v>0</v>
      </c>
    </row>
    <row r="202" spans="1:22" ht="14.25" x14ac:dyDescent="0.2">
      <c r="A202" s="34"/>
      <c r="B202" s="35"/>
      <c r="C202" s="35" t="s">
        <v>679</v>
      </c>
      <c r="D202" s="36" t="s">
        <v>680</v>
      </c>
      <c r="E202" s="28">
        <f>Source!BZ60</f>
        <v>85</v>
      </c>
      <c r="F202" s="38"/>
      <c r="G202" s="37"/>
      <c r="H202" s="28"/>
      <c r="I202" s="28"/>
      <c r="J202" s="39">
        <f>SUM(R195:R201)</f>
        <v>7159.32</v>
      </c>
      <c r="K202" s="39"/>
    </row>
    <row r="203" spans="1:22" ht="14.25" x14ac:dyDescent="0.2">
      <c r="A203" s="34"/>
      <c r="B203" s="35"/>
      <c r="C203" s="35" t="s">
        <v>681</v>
      </c>
      <c r="D203" s="36" t="s">
        <v>680</v>
      </c>
      <c r="E203" s="28">
        <f>Source!CA60</f>
        <v>41</v>
      </c>
      <c r="F203" s="38"/>
      <c r="G203" s="37"/>
      <c r="H203" s="28"/>
      <c r="I203" s="28"/>
      <c r="J203" s="39">
        <f>SUM(T195:T202)</f>
        <v>3453.32</v>
      </c>
      <c r="K203" s="39"/>
    </row>
    <row r="204" spans="1:22" ht="14.25" x14ac:dyDescent="0.2">
      <c r="A204" s="34"/>
      <c r="B204" s="35"/>
      <c r="C204" s="35" t="s">
        <v>682</v>
      </c>
      <c r="D204" s="36" t="s">
        <v>680</v>
      </c>
      <c r="E204" s="28">
        <f>157</f>
        <v>157</v>
      </c>
      <c r="F204" s="38"/>
      <c r="G204" s="37"/>
      <c r="H204" s="28"/>
      <c r="I204" s="28"/>
      <c r="J204" s="39">
        <f>SUM(V195:V203)</f>
        <v>109.92</v>
      </c>
      <c r="K204" s="39"/>
    </row>
    <row r="205" spans="1:22" ht="14.25" x14ac:dyDescent="0.2">
      <c r="A205" s="46"/>
      <c r="B205" s="47"/>
      <c r="C205" s="47" t="s">
        <v>683</v>
      </c>
      <c r="D205" s="48" t="s">
        <v>684</v>
      </c>
      <c r="E205" s="49">
        <f>Source!AQ60</f>
        <v>8.99</v>
      </c>
      <c r="F205" s="50"/>
      <c r="G205" s="51" t="str">
        <f>Source!DI60</f>
        <v>)*1,15</v>
      </c>
      <c r="H205" s="49">
        <f>Source!AV60</f>
        <v>1.0469999999999999</v>
      </c>
      <c r="I205" s="49"/>
      <c r="J205" s="52"/>
      <c r="K205" s="52">
        <f>Source!U60</f>
        <v>32.256740309999998</v>
      </c>
    </row>
    <row r="206" spans="1:22" ht="15" x14ac:dyDescent="0.25">
      <c r="A206" s="53"/>
      <c r="B206" s="53"/>
      <c r="C206" s="54" t="s">
        <v>685</v>
      </c>
      <c r="D206" s="53"/>
      <c r="E206" s="53"/>
      <c r="F206" s="53"/>
      <c r="G206" s="53"/>
      <c r="H206" s="53"/>
      <c r="I206" s="55">
        <f>J197+J198+J202+J203+J204+SUM(J200:J201)</f>
        <v>30243.769999999997</v>
      </c>
      <c r="J206" s="55"/>
      <c r="K206" s="56">
        <f>IF(Source!I60&lt;&gt;0, ROUND(I206/Source!I60, 2), 0)</f>
        <v>10148.92</v>
      </c>
      <c r="P206" s="43">
        <f>J197+J198+J202+J203+J204+SUM(J200:J201)</f>
        <v>30243.769999999997</v>
      </c>
    </row>
    <row r="208" spans="1:22" ht="42.75" x14ac:dyDescent="0.2">
      <c r="A208" s="34" t="str">
        <f>Source!E63</f>
        <v>15</v>
      </c>
      <c r="B208" s="35" t="str">
        <f>Source!F63</f>
        <v>3.15-165-1</v>
      </c>
      <c r="C208" s="35" t="s">
        <v>196</v>
      </c>
      <c r="D208" s="36" t="str">
        <f>Source!H63</f>
        <v>100 м2</v>
      </c>
      <c r="E208" s="28">
        <f>Source!I63</f>
        <v>0.4</v>
      </c>
      <c r="F208" s="38"/>
      <c r="G208" s="37"/>
      <c r="H208" s="28"/>
      <c r="I208" s="28"/>
      <c r="J208" s="39"/>
      <c r="K208" s="39"/>
      <c r="Q208">
        <f>ROUND((Source!DN63/100)*ROUND((Source!AF63*Source!AV63)*Source!I63, 2), 2)</f>
        <v>24.51</v>
      </c>
      <c r="R208">
        <f>Source!X63</f>
        <v>404.98</v>
      </c>
      <c r="S208">
        <f>ROUND((Source!DO63/100)*ROUND((Source!AF63*Source!AV63)*Source!I63, 2), 2)</f>
        <v>15.69</v>
      </c>
      <c r="T208">
        <f>Source!Y63</f>
        <v>204.99</v>
      </c>
      <c r="U208">
        <f>ROUND((175/100)*ROUND((Source!AE63*Source!AV63)*Source!I63, 2), 2)</f>
        <v>0.12</v>
      </c>
      <c r="V208">
        <f>ROUND((157/100)*ROUND(Source!CS63*Source!I63, 2), 2)</f>
        <v>2.29</v>
      </c>
    </row>
    <row r="209" spans="1:22" x14ac:dyDescent="0.2">
      <c r="C209" s="40" t="str">
        <f>"Объем: "&amp;Source!I63&amp;"=40/"&amp;"100"</f>
        <v>Объем: 0,4=40/100</v>
      </c>
    </row>
    <row r="210" spans="1:22" ht="14.25" x14ac:dyDescent="0.2">
      <c r="A210" s="34"/>
      <c r="B210" s="35"/>
      <c r="C210" s="35" t="s">
        <v>675</v>
      </c>
      <c r="D210" s="36"/>
      <c r="E210" s="28"/>
      <c r="F210" s="38">
        <f>Source!AO63</f>
        <v>51.98</v>
      </c>
      <c r="G210" s="37" t="str">
        <f>Source!DG63</f>
        <v>)*1,15</v>
      </c>
      <c r="H210" s="28">
        <f>Source!AV63</f>
        <v>1.0249999999999999</v>
      </c>
      <c r="I210" s="28">
        <f>IF(Source!BA63&lt;&gt; 0, Source!BA63, 1)</f>
        <v>20.399999999999999</v>
      </c>
      <c r="J210" s="39">
        <f>Source!S63</f>
        <v>499.97</v>
      </c>
      <c r="K210" s="39"/>
    </row>
    <row r="211" spans="1:22" ht="14.25" x14ac:dyDescent="0.2">
      <c r="A211" s="34"/>
      <c r="B211" s="35"/>
      <c r="C211" s="35" t="s">
        <v>676</v>
      </c>
      <c r="D211" s="36"/>
      <c r="E211" s="28"/>
      <c r="F211" s="38">
        <f>Source!AM63</f>
        <v>0.82</v>
      </c>
      <c r="G211" s="37" t="str">
        <f>Source!DE63</f>
        <v>)*1,25</v>
      </c>
      <c r="H211" s="28">
        <f>Source!AV63</f>
        <v>1.0249999999999999</v>
      </c>
      <c r="I211" s="28">
        <f>IF(Source!BB63&lt;&gt; 0, Source!BB63, 1)</f>
        <v>7.8</v>
      </c>
      <c r="J211" s="39">
        <f>Source!Q63</f>
        <v>3.28</v>
      </c>
      <c r="K211" s="39"/>
    </row>
    <row r="212" spans="1:22" ht="14.25" x14ac:dyDescent="0.2">
      <c r="A212" s="34"/>
      <c r="B212" s="35"/>
      <c r="C212" s="35" t="s">
        <v>677</v>
      </c>
      <c r="D212" s="36"/>
      <c r="E212" s="28"/>
      <c r="F212" s="38">
        <f>Source!AN63</f>
        <v>0.14000000000000001</v>
      </c>
      <c r="G212" s="37" t="str">
        <f>Source!DF63</f>
        <v>)*1,25</v>
      </c>
      <c r="H212" s="28">
        <f>Source!AV63</f>
        <v>1.0249999999999999</v>
      </c>
      <c r="I212" s="28">
        <f>IF(Source!BS63&lt;&gt; 0, Source!BS63, 1)</f>
        <v>20.399999999999999</v>
      </c>
      <c r="J212" s="41">
        <f>Source!R63</f>
        <v>1.46</v>
      </c>
      <c r="K212" s="39"/>
    </row>
    <row r="213" spans="1:22" ht="57" x14ac:dyDescent="0.2">
      <c r="A213" s="34" t="str">
        <f>Source!E64</f>
        <v>15,1</v>
      </c>
      <c r="B213" s="35" t="str">
        <f>Source!F64</f>
        <v>1.1-1-2854</v>
      </c>
      <c r="C213" s="35" t="s">
        <v>65</v>
      </c>
      <c r="D213" s="36" t="str">
        <f>Source!H64</f>
        <v>кг</v>
      </c>
      <c r="E213" s="28">
        <f>Source!I64</f>
        <v>4.12</v>
      </c>
      <c r="F213" s="38">
        <f>Source!AK64</f>
        <v>28.98</v>
      </c>
      <c r="G213" s="42" t="s">
        <v>3</v>
      </c>
      <c r="H213" s="28">
        <f>Source!AW64</f>
        <v>1</v>
      </c>
      <c r="I213" s="28">
        <f>IF(Source!BC64&lt;&gt; 0, Source!BC64, 1)</f>
        <v>1.19</v>
      </c>
      <c r="J213" s="39">
        <f>Source!O64</f>
        <v>142.08000000000001</v>
      </c>
      <c r="K213" s="39"/>
      <c r="Q213">
        <f>ROUND((Source!DN64/100)*ROUND((Source!AF64*Source!AV64)*Source!I64, 2), 2)</f>
        <v>0</v>
      </c>
      <c r="R213">
        <f>Source!X64</f>
        <v>0</v>
      </c>
      <c r="S213">
        <f>ROUND((Source!DO64/100)*ROUND((Source!AF64*Source!AV64)*Source!I64, 2), 2)</f>
        <v>0</v>
      </c>
      <c r="T213">
        <f>Source!Y64</f>
        <v>0</v>
      </c>
      <c r="U213">
        <f>ROUND((175/100)*ROUND((Source!AE64*Source!AV64)*Source!I64, 2), 2)</f>
        <v>0</v>
      </c>
      <c r="V213">
        <f>ROUND((157/100)*ROUND(Source!CS64*Source!I64, 2), 2)</f>
        <v>0</v>
      </c>
    </row>
    <row r="214" spans="1:22" ht="14.25" x14ac:dyDescent="0.2">
      <c r="A214" s="34"/>
      <c r="B214" s="35"/>
      <c r="C214" s="35" t="s">
        <v>679</v>
      </c>
      <c r="D214" s="36" t="s">
        <v>680</v>
      </c>
      <c r="E214" s="28">
        <f>Source!BZ63</f>
        <v>81</v>
      </c>
      <c r="F214" s="38"/>
      <c r="G214" s="37"/>
      <c r="H214" s="28"/>
      <c r="I214" s="28"/>
      <c r="J214" s="39">
        <f>SUM(R208:R213)</f>
        <v>404.98</v>
      </c>
      <c r="K214" s="39"/>
    </row>
    <row r="215" spans="1:22" ht="14.25" x14ac:dyDescent="0.2">
      <c r="A215" s="34"/>
      <c r="B215" s="35"/>
      <c r="C215" s="35" t="s">
        <v>681</v>
      </c>
      <c r="D215" s="36" t="s">
        <v>680</v>
      </c>
      <c r="E215" s="28">
        <f>Source!CA63</f>
        <v>41</v>
      </c>
      <c r="F215" s="38"/>
      <c r="G215" s="37"/>
      <c r="H215" s="28"/>
      <c r="I215" s="28"/>
      <c r="J215" s="39">
        <f>SUM(T208:T214)</f>
        <v>204.99</v>
      </c>
      <c r="K215" s="39"/>
    </row>
    <row r="216" spans="1:22" ht="14.25" x14ac:dyDescent="0.2">
      <c r="A216" s="34"/>
      <c r="B216" s="35"/>
      <c r="C216" s="35" t="s">
        <v>682</v>
      </c>
      <c r="D216" s="36" t="s">
        <v>680</v>
      </c>
      <c r="E216" s="28">
        <f>157</f>
        <v>157</v>
      </c>
      <c r="F216" s="38"/>
      <c r="G216" s="37"/>
      <c r="H216" s="28"/>
      <c r="I216" s="28"/>
      <c r="J216" s="39">
        <f>SUM(V208:V215)</f>
        <v>2.29</v>
      </c>
      <c r="K216" s="39"/>
    </row>
    <row r="217" spans="1:22" ht="14.25" x14ac:dyDescent="0.2">
      <c r="A217" s="46"/>
      <c r="B217" s="47"/>
      <c r="C217" s="47" t="s">
        <v>683</v>
      </c>
      <c r="D217" s="48" t="s">
        <v>684</v>
      </c>
      <c r="E217" s="49">
        <f>Source!AQ63</f>
        <v>4.6500000000000004</v>
      </c>
      <c r="F217" s="50"/>
      <c r="G217" s="51" t="str">
        <f>Source!DI63</f>
        <v>)*1,15</v>
      </c>
      <c r="H217" s="49">
        <f>Source!AV63</f>
        <v>1.0249999999999999</v>
      </c>
      <c r="I217" s="49"/>
      <c r="J217" s="52"/>
      <c r="K217" s="52">
        <f>Source!U63</f>
        <v>2.192475</v>
      </c>
    </row>
    <row r="218" spans="1:22" ht="15" x14ac:dyDescent="0.25">
      <c r="A218" s="53"/>
      <c r="B218" s="53"/>
      <c r="C218" s="54" t="s">
        <v>685</v>
      </c>
      <c r="D218" s="53"/>
      <c r="E218" s="53"/>
      <c r="F218" s="53"/>
      <c r="G218" s="53"/>
      <c r="H218" s="53"/>
      <c r="I218" s="55">
        <f>J210+J211+J214+J215+J216+SUM(J213:J213)</f>
        <v>1257.5899999999999</v>
      </c>
      <c r="J218" s="55"/>
      <c r="K218" s="56">
        <f>IF(Source!I63&lt;&gt;0, ROUND(I218/Source!I63, 2), 0)</f>
        <v>3143.98</v>
      </c>
      <c r="P218" s="43">
        <f>J210+J211+J214+J215+J216+SUM(J213:J213)</f>
        <v>1257.5899999999999</v>
      </c>
    </row>
    <row r="220" spans="1:22" ht="57" x14ac:dyDescent="0.2">
      <c r="A220" s="34" t="str">
        <f>Source!E65</f>
        <v>16</v>
      </c>
      <c r="B220" s="35" t="str">
        <f>Source!F65</f>
        <v>3.11-36-1</v>
      </c>
      <c r="C220" s="35" t="s">
        <v>200</v>
      </c>
      <c r="D220" s="36" t="str">
        <f>Source!H65</f>
        <v>100 м2 пола</v>
      </c>
      <c r="E220" s="28">
        <f>Source!I65</f>
        <v>0.4</v>
      </c>
      <c r="F220" s="38"/>
      <c r="G220" s="37"/>
      <c r="H220" s="28"/>
      <c r="I220" s="28"/>
      <c r="J220" s="39"/>
      <c r="K220" s="39"/>
      <c r="Q220">
        <f>ROUND((Source!DN65/100)*ROUND((Source!AF65*Source!AV65)*Source!I65, 2), 2)</f>
        <v>494.36</v>
      </c>
      <c r="R220">
        <f>Source!X65</f>
        <v>8242.56</v>
      </c>
      <c r="S220">
        <f>ROUND((Source!DO65/100)*ROUND((Source!AF65*Source!AV65)*Source!I65, 2), 2)</f>
        <v>332.75</v>
      </c>
      <c r="T220">
        <f>Source!Y65</f>
        <v>3975.82</v>
      </c>
      <c r="U220">
        <f>ROUND((175/100)*ROUND((Source!AE65*Source!AV65)*Source!I65, 2), 2)</f>
        <v>11.46</v>
      </c>
      <c r="V220">
        <f>ROUND((157/100)*ROUND(Source!CS65*Source!I65, 2), 2)</f>
        <v>209.75</v>
      </c>
    </row>
    <row r="221" spans="1:22" x14ac:dyDescent="0.2">
      <c r="C221" s="40" t="str">
        <f>"Объем: "&amp;Source!I65&amp;"=40/"&amp;"100"</f>
        <v>Объем: 0,4=40/100</v>
      </c>
    </row>
    <row r="222" spans="1:22" ht="14.25" x14ac:dyDescent="0.2">
      <c r="A222" s="34"/>
      <c r="B222" s="35"/>
      <c r="C222" s="35" t="s">
        <v>675</v>
      </c>
      <c r="D222" s="36"/>
      <c r="E222" s="28"/>
      <c r="F222" s="38">
        <f>Source!AO65</f>
        <v>986.98</v>
      </c>
      <c r="G222" s="37" t="str">
        <f>Source!DG65</f>
        <v>)*1,15</v>
      </c>
      <c r="H222" s="28">
        <f>Source!AV65</f>
        <v>1.0469999999999999</v>
      </c>
      <c r="I222" s="28">
        <f>IF(Source!BA65&lt;&gt; 0, Source!BA65, 1)</f>
        <v>20.399999999999999</v>
      </c>
      <c r="J222" s="39">
        <f>Source!S65</f>
        <v>9697.1299999999992</v>
      </c>
      <c r="K222" s="39"/>
    </row>
    <row r="223" spans="1:22" ht="14.25" x14ac:dyDescent="0.2">
      <c r="A223" s="34"/>
      <c r="B223" s="35"/>
      <c r="C223" s="35" t="s">
        <v>676</v>
      </c>
      <c r="D223" s="36"/>
      <c r="E223" s="28"/>
      <c r="F223" s="38">
        <f>Source!AM65</f>
        <v>99.77</v>
      </c>
      <c r="G223" s="37" t="str">
        <f>Source!DE65</f>
        <v>)*1,25</v>
      </c>
      <c r="H223" s="28">
        <f>Source!AV65</f>
        <v>1.0469999999999999</v>
      </c>
      <c r="I223" s="28">
        <f>IF(Source!BB65&lt;&gt; 0, Source!BB65, 1)</f>
        <v>10.41</v>
      </c>
      <c r="J223" s="39">
        <f>Source!Q65</f>
        <v>543.71</v>
      </c>
      <c r="K223" s="39"/>
    </row>
    <row r="224" spans="1:22" ht="14.25" x14ac:dyDescent="0.2">
      <c r="A224" s="34"/>
      <c r="B224" s="35"/>
      <c r="C224" s="35" t="s">
        <v>677</v>
      </c>
      <c r="D224" s="36"/>
      <c r="E224" s="28"/>
      <c r="F224" s="38">
        <f>Source!AN65</f>
        <v>12.51</v>
      </c>
      <c r="G224" s="37" t="str">
        <f>Source!DF65</f>
        <v>)*1,25</v>
      </c>
      <c r="H224" s="28">
        <f>Source!AV65</f>
        <v>1.0469999999999999</v>
      </c>
      <c r="I224" s="28">
        <f>IF(Source!BS65&lt;&gt; 0, Source!BS65, 1)</f>
        <v>20.399999999999999</v>
      </c>
      <c r="J224" s="41">
        <f>Source!R65</f>
        <v>133.6</v>
      </c>
      <c r="K224" s="39"/>
    </row>
    <row r="225" spans="1:22" ht="14.25" x14ac:dyDescent="0.2">
      <c r="A225" s="34"/>
      <c r="B225" s="35"/>
      <c r="C225" s="35" t="s">
        <v>678</v>
      </c>
      <c r="D225" s="36"/>
      <c r="E225" s="28"/>
      <c r="F225" s="38">
        <f>Source!AL65</f>
        <v>699.78</v>
      </c>
      <c r="G225" s="37" t="str">
        <f>Source!DD65</f>
        <v/>
      </c>
      <c r="H225" s="28">
        <f>Source!AW65</f>
        <v>1</v>
      </c>
      <c r="I225" s="28">
        <f>IF(Source!BC65&lt;&gt; 0, Source!BC65, 1)</f>
        <v>1.5</v>
      </c>
      <c r="J225" s="39">
        <f>Source!P65</f>
        <v>419.87</v>
      </c>
      <c r="K225" s="39"/>
    </row>
    <row r="226" spans="1:22" ht="57" x14ac:dyDescent="0.2">
      <c r="A226" s="34" t="str">
        <f>Source!E67</f>
        <v>16,2</v>
      </c>
      <c r="B226" s="35" t="str">
        <f>Source!F67</f>
        <v>1.3-2-35</v>
      </c>
      <c r="C226" s="35" t="s">
        <v>211</v>
      </c>
      <c r="D226" s="36" t="str">
        <f>Source!H67</f>
        <v>т</v>
      </c>
      <c r="E226" s="28">
        <f>Source!I67</f>
        <v>0.188</v>
      </c>
      <c r="F226" s="38">
        <f>Source!AK67</f>
        <v>1677.56</v>
      </c>
      <c r="G226" s="42" t="s">
        <v>3</v>
      </c>
      <c r="H226" s="28">
        <f>Source!AW67</f>
        <v>1</v>
      </c>
      <c r="I226" s="28">
        <f>IF(Source!BC67&lt;&gt; 0, Source!BC67, 1)</f>
        <v>4.83</v>
      </c>
      <c r="J226" s="39">
        <f>Source!O67</f>
        <v>1523.29</v>
      </c>
      <c r="K226" s="39"/>
      <c r="Q226">
        <f>ROUND((Source!DN67/100)*ROUND((Source!AF67*Source!AV67)*Source!I67, 2), 2)</f>
        <v>0</v>
      </c>
      <c r="R226">
        <f>Source!X67</f>
        <v>0</v>
      </c>
      <c r="S226">
        <f>ROUND((Source!DO67/100)*ROUND((Source!AF67*Source!AV67)*Source!I67, 2), 2)</f>
        <v>0</v>
      </c>
      <c r="T226">
        <f>Source!Y67</f>
        <v>0</v>
      </c>
      <c r="U226">
        <f>ROUND((175/100)*ROUND((Source!AE67*Source!AV67)*Source!I67, 2), 2)</f>
        <v>0</v>
      </c>
      <c r="V226">
        <f>ROUND((157/100)*ROUND(Source!CS67*Source!I67, 2), 2)</f>
        <v>0</v>
      </c>
    </row>
    <row r="227" spans="1:22" ht="57" x14ac:dyDescent="0.2">
      <c r="A227" s="34" t="str">
        <f>Source!E68</f>
        <v>16,3</v>
      </c>
      <c r="B227" s="35" t="str">
        <f>Source!F68</f>
        <v>1.1-1-3228</v>
      </c>
      <c r="C227" s="35" t="s">
        <v>215</v>
      </c>
      <c r="D227" s="36" t="str">
        <f>Source!H68</f>
        <v>м2</v>
      </c>
      <c r="E227" s="28">
        <f>Source!I68</f>
        <v>40.799999999999997</v>
      </c>
      <c r="F227" s="38">
        <f>Source!AK68</f>
        <v>198.81</v>
      </c>
      <c r="G227" s="42" t="s">
        <v>3</v>
      </c>
      <c r="H227" s="28">
        <f>Source!AW68</f>
        <v>1</v>
      </c>
      <c r="I227" s="28">
        <f>IF(Source!BC68&lt;&gt; 0, Source!BC68, 1)</f>
        <v>3.13</v>
      </c>
      <c r="J227" s="39">
        <f>Source!O68</f>
        <v>25388.83</v>
      </c>
      <c r="K227" s="39"/>
      <c r="Q227">
        <f>ROUND((Source!DN68/100)*ROUND((Source!AF68*Source!AV68)*Source!I68, 2), 2)</f>
        <v>0</v>
      </c>
      <c r="R227">
        <f>Source!X68</f>
        <v>0</v>
      </c>
      <c r="S227">
        <f>ROUND((Source!DO68/100)*ROUND((Source!AF68*Source!AV68)*Source!I68, 2), 2)</f>
        <v>0</v>
      </c>
      <c r="T227">
        <f>Source!Y68</f>
        <v>0</v>
      </c>
      <c r="U227">
        <f>ROUND((175/100)*ROUND((Source!AE68*Source!AV68)*Source!I68, 2), 2)</f>
        <v>0</v>
      </c>
      <c r="V227">
        <f>ROUND((157/100)*ROUND(Source!CS68*Source!I68, 2), 2)</f>
        <v>0</v>
      </c>
    </row>
    <row r="228" spans="1:22" ht="14.25" x14ac:dyDescent="0.2">
      <c r="A228" s="34"/>
      <c r="B228" s="35"/>
      <c r="C228" s="35" t="s">
        <v>679</v>
      </c>
      <c r="D228" s="36" t="s">
        <v>680</v>
      </c>
      <c r="E228" s="28">
        <f>Source!BZ65</f>
        <v>85</v>
      </c>
      <c r="F228" s="38"/>
      <c r="G228" s="37"/>
      <c r="H228" s="28"/>
      <c r="I228" s="28"/>
      <c r="J228" s="39">
        <f>SUM(R220:R227)</f>
        <v>8242.56</v>
      </c>
      <c r="K228" s="39"/>
    </row>
    <row r="229" spans="1:22" ht="14.25" x14ac:dyDescent="0.2">
      <c r="A229" s="34"/>
      <c r="B229" s="35"/>
      <c r="C229" s="35" t="s">
        <v>681</v>
      </c>
      <c r="D229" s="36" t="s">
        <v>680</v>
      </c>
      <c r="E229" s="28">
        <f>Source!CA65</f>
        <v>41</v>
      </c>
      <c r="F229" s="38"/>
      <c r="G229" s="37"/>
      <c r="H229" s="28"/>
      <c r="I229" s="28"/>
      <c r="J229" s="39">
        <f>SUM(T220:T228)</f>
        <v>3975.82</v>
      </c>
      <c r="K229" s="39"/>
    </row>
    <row r="230" spans="1:22" ht="14.25" x14ac:dyDescent="0.2">
      <c r="A230" s="34"/>
      <c r="B230" s="35"/>
      <c r="C230" s="35" t="s">
        <v>682</v>
      </c>
      <c r="D230" s="36" t="s">
        <v>680</v>
      </c>
      <c r="E230" s="28">
        <f>157</f>
        <v>157</v>
      </c>
      <c r="F230" s="38"/>
      <c r="G230" s="37"/>
      <c r="H230" s="28"/>
      <c r="I230" s="28"/>
      <c r="J230" s="39">
        <f>SUM(V220:V229)</f>
        <v>209.75</v>
      </c>
      <c r="K230" s="39"/>
    </row>
    <row r="231" spans="1:22" ht="14.25" x14ac:dyDescent="0.2">
      <c r="A231" s="46"/>
      <c r="B231" s="47"/>
      <c r="C231" s="47" t="s">
        <v>683</v>
      </c>
      <c r="D231" s="48" t="s">
        <v>684</v>
      </c>
      <c r="E231" s="49">
        <f>Source!AQ65</f>
        <v>84.08</v>
      </c>
      <c r="F231" s="50"/>
      <c r="G231" s="51" t="str">
        <f>Source!DI65</f>
        <v>)*1,15</v>
      </c>
      <c r="H231" s="49">
        <f>Source!AV65</f>
        <v>1.0469999999999999</v>
      </c>
      <c r="I231" s="49"/>
      <c r="J231" s="52"/>
      <c r="K231" s="52">
        <f>Source!U65</f>
        <v>40.494609599999997</v>
      </c>
    </row>
    <row r="232" spans="1:22" ht="15" x14ac:dyDescent="0.25">
      <c r="A232" s="53"/>
      <c r="B232" s="53"/>
      <c r="C232" s="54" t="s">
        <v>685</v>
      </c>
      <c r="D232" s="53"/>
      <c r="E232" s="53"/>
      <c r="F232" s="53"/>
      <c r="G232" s="53"/>
      <c r="H232" s="53"/>
      <c r="I232" s="55">
        <f>J222+J223+J225+J228+J229+J230+SUM(J226:J227)</f>
        <v>50000.960000000006</v>
      </c>
      <c r="J232" s="55"/>
      <c r="K232" s="56">
        <f>IF(Source!I65&lt;&gt;0, ROUND(I232/Source!I65, 2), 0)</f>
        <v>125002.4</v>
      </c>
      <c r="P232" s="43">
        <f>J222+J223+J225+J228+J229+J230+SUM(J226:J227)</f>
        <v>50000.960000000006</v>
      </c>
    </row>
    <row r="234" spans="1:22" ht="42.75" x14ac:dyDescent="0.2">
      <c r="A234" s="34" t="str">
        <f>Source!E69</f>
        <v>17</v>
      </c>
      <c r="B234" s="35" t="str">
        <f>Source!F69</f>
        <v>3.15-165-1</v>
      </c>
      <c r="C234" s="35" t="s">
        <v>59</v>
      </c>
      <c r="D234" s="36" t="str">
        <f>Source!H69</f>
        <v>100 м2</v>
      </c>
      <c r="E234" s="28">
        <f>Source!I69</f>
        <v>2.06</v>
      </c>
      <c r="F234" s="38"/>
      <c r="G234" s="37"/>
      <c r="H234" s="28"/>
      <c r="I234" s="28"/>
      <c r="J234" s="39"/>
      <c r="K234" s="39"/>
      <c r="Q234">
        <f>ROUND((Source!DN69/100)*ROUND((Source!AF69*Source!AV69)*Source!I69, 2), 2)</f>
        <v>126.22</v>
      </c>
      <c r="R234">
        <f>Source!X69</f>
        <v>2085.64</v>
      </c>
      <c r="S234">
        <f>ROUND((Source!DO69/100)*ROUND((Source!AF69*Source!AV69)*Source!I69, 2), 2)</f>
        <v>80.78</v>
      </c>
      <c r="T234">
        <f>Source!Y69</f>
        <v>1055.7</v>
      </c>
      <c r="U234">
        <f>ROUND((175/100)*ROUND((Source!AE69*Source!AV69)*Source!I69, 2), 2)</f>
        <v>0.65</v>
      </c>
      <c r="V234">
        <f>ROUND((157/100)*ROUND(Source!CS69*Source!I69, 2), 2)</f>
        <v>11.84</v>
      </c>
    </row>
    <row r="235" spans="1:22" x14ac:dyDescent="0.2">
      <c r="C235" s="40" t="str">
        <f>"Объем: "&amp;Source!I69&amp;"=206/"&amp;"100"</f>
        <v>Объем: 2,06=206/100</v>
      </c>
    </row>
    <row r="236" spans="1:22" ht="14.25" x14ac:dyDescent="0.2">
      <c r="A236" s="34"/>
      <c r="B236" s="35"/>
      <c r="C236" s="35" t="s">
        <v>675</v>
      </c>
      <c r="D236" s="36"/>
      <c r="E236" s="28"/>
      <c r="F236" s="38">
        <f>Source!AO69</f>
        <v>51.98</v>
      </c>
      <c r="G236" s="37" t="str">
        <f>Source!DG69</f>
        <v>)*1,15</v>
      </c>
      <c r="H236" s="28">
        <f>Source!AV69</f>
        <v>1.0249999999999999</v>
      </c>
      <c r="I236" s="28">
        <f>IF(Source!BA69&lt;&gt; 0, Source!BA69, 1)</f>
        <v>20.399999999999999</v>
      </c>
      <c r="J236" s="39">
        <f>Source!S69</f>
        <v>2574.87</v>
      </c>
      <c r="K236" s="39"/>
    </row>
    <row r="237" spans="1:22" ht="14.25" x14ac:dyDescent="0.2">
      <c r="A237" s="34"/>
      <c r="B237" s="35"/>
      <c r="C237" s="35" t="s">
        <v>676</v>
      </c>
      <c r="D237" s="36"/>
      <c r="E237" s="28"/>
      <c r="F237" s="38">
        <f>Source!AM69</f>
        <v>0.82</v>
      </c>
      <c r="G237" s="37" t="str">
        <f>Source!DE69</f>
        <v>)*1,25</v>
      </c>
      <c r="H237" s="28">
        <f>Source!AV69</f>
        <v>1.0249999999999999</v>
      </c>
      <c r="I237" s="28">
        <f>IF(Source!BB69&lt;&gt; 0, Source!BB69, 1)</f>
        <v>7.8</v>
      </c>
      <c r="J237" s="39">
        <f>Source!Q69</f>
        <v>16.88</v>
      </c>
      <c r="K237" s="39"/>
    </row>
    <row r="238" spans="1:22" ht="14.25" x14ac:dyDescent="0.2">
      <c r="A238" s="34"/>
      <c r="B238" s="35"/>
      <c r="C238" s="35" t="s">
        <v>677</v>
      </c>
      <c r="D238" s="36"/>
      <c r="E238" s="28"/>
      <c r="F238" s="38">
        <f>Source!AN69</f>
        <v>0.14000000000000001</v>
      </c>
      <c r="G238" s="37" t="str">
        <f>Source!DF69</f>
        <v>)*1,25</v>
      </c>
      <c r="H238" s="28">
        <f>Source!AV69</f>
        <v>1.0249999999999999</v>
      </c>
      <c r="I238" s="28">
        <f>IF(Source!BS69&lt;&gt; 0, Source!BS69, 1)</f>
        <v>20.399999999999999</v>
      </c>
      <c r="J238" s="41">
        <f>Source!R69</f>
        <v>7.54</v>
      </c>
      <c r="K238" s="39"/>
    </row>
    <row r="239" spans="1:22" ht="57" x14ac:dyDescent="0.2">
      <c r="A239" s="34" t="str">
        <f>Source!E70</f>
        <v>17,1</v>
      </c>
      <c r="B239" s="35" t="str">
        <f>Source!F70</f>
        <v>1.1-1-2854</v>
      </c>
      <c r="C239" s="35" t="s">
        <v>65</v>
      </c>
      <c r="D239" s="36" t="str">
        <f>Source!H70</f>
        <v>кг</v>
      </c>
      <c r="E239" s="28">
        <f>Source!I70</f>
        <v>21.218</v>
      </c>
      <c r="F239" s="38">
        <f>Source!AK70</f>
        <v>28.98</v>
      </c>
      <c r="G239" s="42" t="s">
        <v>3</v>
      </c>
      <c r="H239" s="28">
        <f>Source!AW70</f>
        <v>1</v>
      </c>
      <c r="I239" s="28">
        <f>IF(Source!BC70&lt;&gt; 0, Source!BC70, 1)</f>
        <v>1.19</v>
      </c>
      <c r="J239" s="39">
        <f>Source!O70</f>
        <v>731.73</v>
      </c>
      <c r="K239" s="39"/>
      <c r="Q239">
        <f>ROUND((Source!DN70/100)*ROUND((Source!AF70*Source!AV70)*Source!I70, 2), 2)</f>
        <v>0</v>
      </c>
      <c r="R239">
        <f>Source!X70</f>
        <v>0</v>
      </c>
      <c r="S239">
        <f>ROUND((Source!DO70/100)*ROUND((Source!AF70*Source!AV70)*Source!I70, 2), 2)</f>
        <v>0</v>
      </c>
      <c r="T239">
        <f>Source!Y70</f>
        <v>0</v>
      </c>
      <c r="U239">
        <f>ROUND((175/100)*ROUND((Source!AE70*Source!AV70)*Source!I70, 2), 2)</f>
        <v>0</v>
      </c>
      <c r="V239">
        <f>ROUND((157/100)*ROUND(Source!CS70*Source!I70, 2), 2)</f>
        <v>0</v>
      </c>
    </row>
    <row r="240" spans="1:22" ht="14.25" x14ac:dyDescent="0.2">
      <c r="A240" s="34"/>
      <c r="B240" s="35"/>
      <c r="C240" s="35" t="s">
        <v>679</v>
      </c>
      <c r="D240" s="36" t="s">
        <v>680</v>
      </c>
      <c r="E240" s="28">
        <f>Source!BZ69</f>
        <v>81</v>
      </c>
      <c r="F240" s="38"/>
      <c r="G240" s="37"/>
      <c r="H240" s="28"/>
      <c r="I240" s="28"/>
      <c r="J240" s="39">
        <f>SUM(R234:R239)</f>
        <v>2085.64</v>
      </c>
      <c r="K240" s="39"/>
    </row>
    <row r="241" spans="1:22" ht="14.25" x14ac:dyDescent="0.2">
      <c r="A241" s="34"/>
      <c r="B241" s="35"/>
      <c r="C241" s="35" t="s">
        <v>681</v>
      </c>
      <c r="D241" s="36" t="s">
        <v>680</v>
      </c>
      <c r="E241" s="28">
        <f>Source!CA69</f>
        <v>41</v>
      </c>
      <c r="F241" s="38"/>
      <c r="G241" s="37"/>
      <c r="H241" s="28"/>
      <c r="I241" s="28"/>
      <c r="J241" s="39">
        <f>SUM(T234:T240)</f>
        <v>1055.7</v>
      </c>
      <c r="K241" s="39"/>
    </row>
    <row r="242" spans="1:22" ht="14.25" x14ac:dyDescent="0.2">
      <c r="A242" s="34"/>
      <c r="B242" s="35"/>
      <c r="C242" s="35" t="s">
        <v>682</v>
      </c>
      <c r="D242" s="36" t="s">
        <v>680</v>
      </c>
      <c r="E242" s="28">
        <f>157</f>
        <v>157</v>
      </c>
      <c r="F242" s="38"/>
      <c r="G242" s="37"/>
      <c r="H242" s="28"/>
      <c r="I242" s="28"/>
      <c r="J242" s="39">
        <f>SUM(V234:V241)</f>
        <v>11.84</v>
      </c>
      <c r="K242" s="39"/>
    </row>
    <row r="243" spans="1:22" ht="14.25" x14ac:dyDescent="0.2">
      <c r="A243" s="46"/>
      <c r="B243" s="47"/>
      <c r="C243" s="47" t="s">
        <v>683</v>
      </c>
      <c r="D243" s="48" t="s">
        <v>684</v>
      </c>
      <c r="E243" s="49">
        <f>Source!AQ69</f>
        <v>4.6500000000000004</v>
      </c>
      <c r="F243" s="50"/>
      <c r="G243" s="51" t="str">
        <f>Source!DI69</f>
        <v>)*1,15</v>
      </c>
      <c r="H243" s="49">
        <f>Source!AV69</f>
        <v>1.0249999999999999</v>
      </c>
      <c r="I243" s="49"/>
      <c r="J243" s="52"/>
      <c r="K243" s="52">
        <f>Source!U69</f>
        <v>11.29124625</v>
      </c>
    </row>
    <row r="244" spans="1:22" ht="15" x14ac:dyDescent="0.25">
      <c r="A244" s="53"/>
      <c r="B244" s="53"/>
      <c r="C244" s="54" t="s">
        <v>685</v>
      </c>
      <c r="D244" s="53"/>
      <c r="E244" s="53"/>
      <c r="F244" s="53"/>
      <c r="G244" s="53"/>
      <c r="H244" s="53"/>
      <c r="I244" s="55">
        <f>J236+J237+J240+J241+J242+SUM(J239:J239)</f>
        <v>6476.66</v>
      </c>
      <c r="J244" s="55"/>
      <c r="K244" s="56">
        <f>IF(Source!I69&lt;&gt;0, ROUND(I244/Source!I69, 2), 0)</f>
        <v>3144.01</v>
      </c>
      <c r="P244" s="43">
        <f>J236+J237+J240+J241+J242+SUM(J239:J239)</f>
        <v>6476.66</v>
      </c>
    </row>
    <row r="246" spans="1:22" ht="57" x14ac:dyDescent="0.2">
      <c r="A246" s="34" t="str">
        <f>Source!E71</f>
        <v>18</v>
      </c>
      <c r="B246" s="35" t="str">
        <f>Source!F71</f>
        <v>3.15-149-1</v>
      </c>
      <c r="C246" s="35" t="s">
        <v>221</v>
      </c>
      <c r="D246" s="36" t="str">
        <f>Source!H71</f>
        <v>100 м2</v>
      </c>
      <c r="E246" s="28">
        <f>Source!I71</f>
        <v>2.06</v>
      </c>
      <c r="F246" s="38"/>
      <c r="G246" s="37"/>
      <c r="H246" s="28"/>
      <c r="I246" s="28"/>
      <c r="J246" s="39"/>
      <c r="K246" s="39"/>
      <c r="Q246">
        <f>ROUND((Source!DN71/100)*ROUND((Source!AF71*Source!AV71)*Source!I71, 2), 2)</f>
        <v>3307.7</v>
      </c>
      <c r="R246">
        <f>Source!X71</f>
        <v>54656.5</v>
      </c>
      <c r="S246">
        <f>ROUND((Source!DO71/100)*ROUND((Source!AF71*Source!AV71)*Source!I71, 2), 2)</f>
        <v>2116.9299999999998</v>
      </c>
      <c r="T246">
        <f>Source!Y71</f>
        <v>27665.64</v>
      </c>
      <c r="U246">
        <f>ROUND((175/100)*ROUND((Source!AE71*Source!AV71)*Source!I71, 2), 2)</f>
        <v>17.78</v>
      </c>
      <c r="V246">
        <f>ROUND((157/100)*ROUND(Source!CS71*Source!I71, 2), 2)</f>
        <v>325.45999999999998</v>
      </c>
    </row>
    <row r="247" spans="1:22" x14ac:dyDescent="0.2">
      <c r="C247" s="40" t="str">
        <f>"Объем: "&amp;Source!I71&amp;"=206/"&amp;"100"</f>
        <v>Объем: 2,06=206/100</v>
      </c>
    </row>
    <row r="248" spans="1:22" ht="14.25" x14ac:dyDescent="0.2">
      <c r="A248" s="34"/>
      <c r="B248" s="35"/>
      <c r="C248" s="35" t="s">
        <v>675</v>
      </c>
      <c r="D248" s="36"/>
      <c r="E248" s="28"/>
      <c r="F248" s="38">
        <f>Source!AO71</f>
        <v>1362.19</v>
      </c>
      <c r="G248" s="37" t="str">
        <f>Source!DG71</f>
        <v>)*1,15</v>
      </c>
      <c r="H248" s="28">
        <f>Source!AV71</f>
        <v>1.0249999999999999</v>
      </c>
      <c r="I248" s="28">
        <f>IF(Source!BA71&lt;&gt; 0, Source!BA71, 1)</f>
        <v>20.399999999999999</v>
      </c>
      <c r="J248" s="39">
        <f>Source!S71</f>
        <v>67477.16</v>
      </c>
      <c r="K248" s="39"/>
    </row>
    <row r="249" spans="1:22" ht="14.25" x14ac:dyDescent="0.2">
      <c r="A249" s="34"/>
      <c r="B249" s="35"/>
      <c r="C249" s="35" t="s">
        <v>676</v>
      </c>
      <c r="D249" s="36"/>
      <c r="E249" s="28"/>
      <c r="F249" s="38">
        <f>Source!AM71</f>
        <v>21.72</v>
      </c>
      <c r="G249" s="37" t="str">
        <f>Source!DE71</f>
        <v>)*1,25</v>
      </c>
      <c r="H249" s="28">
        <f>Source!AV71</f>
        <v>1.0249999999999999</v>
      </c>
      <c r="I249" s="28">
        <f>IF(Source!BB71&lt;&gt; 0, Source!BB71, 1)</f>
        <v>8.77</v>
      </c>
      <c r="J249" s="39">
        <f>Source!Q71</f>
        <v>502.76</v>
      </c>
      <c r="K249" s="39"/>
    </row>
    <row r="250" spans="1:22" ht="14.25" x14ac:dyDescent="0.2">
      <c r="A250" s="34"/>
      <c r="B250" s="35"/>
      <c r="C250" s="35" t="s">
        <v>677</v>
      </c>
      <c r="D250" s="36"/>
      <c r="E250" s="28"/>
      <c r="F250" s="38">
        <f>Source!AN71</f>
        <v>3.85</v>
      </c>
      <c r="G250" s="37" t="str">
        <f>Source!DF71</f>
        <v>)*1,25</v>
      </c>
      <c r="H250" s="28">
        <f>Source!AV71</f>
        <v>1.0249999999999999</v>
      </c>
      <c r="I250" s="28">
        <f>IF(Source!BS71&lt;&gt; 0, Source!BS71, 1)</f>
        <v>20.399999999999999</v>
      </c>
      <c r="J250" s="41">
        <f>Source!R71</f>
        <v>207.3</v>
      </c>
      <c r="K250" s="39"/>
    </row>
    <row r="251" spans="1:22" ht="14.25" x14ac:dyDescent="0.2">
      <c r="A251" s="34"/>
      <c r="B251" s="35"/>
      <c r="C251" s="35" t="s">
        <v>678</v>
      </c>
      <c r="D251" s="36"/>
      <c r="E251" s="28"/>
      <c r="F251" s="38">
        <f>Source!AL71</f>
        <v>83.42</v>
      </c>
      <c r="G251" s="37" t="str">
        <f>Source!DD71</f>
        <v/>
      </c>
      <c r="H251" s="28">
        <f>Source!AW71</f>
        <v>1</v>
      </c>
      <c r="I251" s="28">
        <f>IF(Source!BC71&lt;&gt; 0, Source!BC71, 1)</f>
        <v>1.89</v>
      </c>
      <c r="J251" s="39">
        <f>Source!P71</f>
        <v>324.79000000000002</v>
      </c>
      <c r="K251" s="39"/>
    </row>
    <row r="252" spans="1:22" ht="28.5" x14ac:dyDescent="0.2">
      <c r="A252" s="34" t="str">
        <f>Source!E72</f>
        <v>18,1</v>
      </c>
      <c r="B252" s="35" t="str">
        <f>Source!F72</f>
        <v>1.3-2-138</v>
      </c>
      <c r="C252" s="35" t="s">
        <v>207</v>
      </c>
      <c r="D252" s="36" t="str">
        <f>Source!H72</f>
        <v>т</v>
      </c>
      <c r="E252" s="28">
        <f>Source!I72</f>
        <v>0.57679999999999998</v>
      </c>
      <c r="F252" s="38">
        <f>Source!AK72</f>
        <v>27362.67</v>
      </c>
      <c r="G252" s="42" t="s">
        <v>3</v>
      </c>
      <c r="H252" s="28">
        <f>Source!AW72</f>
        <v>1</v>
      </c>
      <c r="I252" s="28">
        <f>IF(Source!BC72&lt;&gt; 0, Source!BC72, 1)</f>
        <v>0.95</v>
      </c>
      <c r="J252" s="39">
        <f>Source!O72</f>
        <v>14993.65</v>
      </c>
      <c r="K252" s="39"/>
      <c r="Q252">
        <f>ROUND((Source!DN72/100)*ROUND((Source!AF72*Source!AV72)*Source!I72, 2), 2)</f>
        <v>0</v>
      </c>
      <c r="R252">
        <f>Source!X72</f>
        <v>0</v>
      </c>
      <c r="S252">
        <f>ROUND((Source!DO72/100)*ROUND((Source!AF72*Source!AV72)*Source!I72, 2), 2)</f>
        <v>0</v>
      </c>
      <c r="T252">
        <f>Source!Y72</f>
        <v>0</v>
      </c>
      <c r="U252">
        <f>ROUND((175/100)*ROUND((Source!AE72*Source!AV72)*Source!I72, 2), 2)</f>
        <v>0</v>
      </c>
      <c r="V252">
        <f>ROUND((157/100)*ROUND(Source!CS72*Source!I72, 2), 2)</f>
        <v>0</v>
      </c>
    </row>
    <row r="253" spans="1:22" ht="71.25" x14ac:dyDescent="0.2">
      <c r="A253" s="34" t="str">
        <f>Source!E73</f>
        <v>18,2</v>
      </c>
      <c r="B253" s="35" t="str">
        <f>Source!F73</f>
        <v>1.3-2-36</v>
      </c>
      <c r="C253" s="35" t="s">
        <v>228</v>
      </c>
      <c r="D253" s="36" t="str">
        <f>Source!H73</f>
        <v>т</v>
      </c>
      <c r="E253" s="28">
        <f>Source!I73</f>
        <v>0.77249999999999996</v>
      </c>
      <c r="F253" s="38">
        <f>Source!AK73</f>
        <v>3374.81</v>
      </c>
      <c r="G253" s="42" t="s">
        <v>3</v>
      </c>
      <c r="H253" s="28">
        <f>Source!AW73</f>
        <v>1</v>
      </c>
      <c r="I253" s="28">
        <f>IF(Source!BC73&lt;&gt; 0, Source!BC73, 1)</f>
        <v>4.4000000000000004</v>
      </c>
      <c r="J253" s="39">
        <f>Source!O73</f>
        <v>11470.98</v>
      </c>
      <c r="K253" s="39"/>
      <c r="Q253">
        <f>ROUND((Source!DN73/100)*ROUND((Source!AF73*Source!AV73)*Source!I73, 2), 2)</f>
        <v>0</v>
      </c>
      <c r="R253">
        <f>Source!X73</f>
        <v>0</v>
      </c>
      <c r="S253">
        <f>ROUND((Source!DO73/100)*ROUND((Source!AF73*Source!AV73)*Source!I73, 2), 2)</f>
        <v>0</v>
      </c>
      <c r="T253">
        <f>Source!Y73</f>
        <v>0</v>
      </c>
      <c r="U253">
        <f>ROUND((175/100)*ROUND((Source!AE73*Source!AV73)*Source!I73, 2), 2)</f>
        <v>0</v>
      </c>
      <c r="V253">
        <f>ROUND((157/100)*ROUND(Source!CS73*Source!I73, 2), 2)</f>
        <v>0</v>
      </c>
    </row>
    <row r="254" spans="1:22" ht="57" x14ac:dyDescent="0.2">
      <c r="A254" s="34" t="str">
        <f>Source!E74</f>
        <v>18,3</v>
      </c>
      <c r="B254" s="35" t="str">
        <f>Source!F74</f>
        <v>1.1-1-836</v>
      </c>
      <c r="C254" s="35" t="s">
        <v>232</v>
      </c>
      <c r="D254" s="36" t="str">
        <f>Source!H74</f>
        <v>м2</v>
      </c>
      <c r="E254" s="28">
        <f>Source!I74</f>
        <v>206</v>
      </c>
      <c r="F254" s="38">
        <f>Source!AK74</f>
        <v>52.32</v>
      </c>
      <c r="G254" s="42" t="s">
        <v>3</v>
      </c>
      <c r="H254" s="28">
        <f>Source!AW74</f>
        <v>1</v>
      </c>
      <c r="I254" s="28">
        <f>IF(Source!BC74&lt;&gt; 0, Source!BC74, 1)</f>
        <v>4.3600000000000003</v>
      </c>
      <c r="J254" s="39">
        <f>Source!O74</f>
        <v>46991.73</v>
      </c>
      <c r="K254" s="39"/>
      <c r="Q254">
        <f>ROUND((Source!DN74/100)*ROUND((Source!AF74*Source!AV74)*Source!I74, 2), 2)</f>
        <v>0</v>
      </c>
      <c r="R254">
        <f>Source!X74</f>
        <v>0</v>
      </c>
      <c r="S254">
        <f>ROUND((Source!DO74/100)*ROUND((Source!AF74*Source!AV74)*Source!I74, 2), 2)</f>
        <v>0</v>
      </c>
      <c r="T254">
        <f>Source!Y74</f>
        <v>0</v>
      </c>
      <c r="U254">
        <f>ROUND((175/100)*ROUND((Source!AE74*Source!AV74)*Source!I74, 2), 2)</f>
        <v>0</v>
      </c>
      <c r="V254">
        <f>ROUND((157/100)*ROUND(Source!CS74*Source!I74, 2), 2)</f>
        <v>0</v>
      </c>
    </row>
    <row r="255" spans="1:22" ht="14.25" x14ac:dyDescent="0.2">
      <c r="A255" s="34"/>
      <c r="B255" s="35"/>
      <c r="C255" s="35" t="s">
        <v>679</v>
      </c>
      <c r="D255" s="36" t="s">
        <v>680</v>
      </c>
      <c r="E255" s="28">
        <f>Source!BZ71</f>
        <v>81</v>
      </c>
      <c r="F255" s="38"/>
      <c r="G255" s="37"/>
      <c r="H255" s="28"/>
      <c r="I255" s="28"/>
      <c r="J255" s="39">
        <f>SUM(R246:R254)</f>
        <v>54656.5</v>
      </c>
      <c r="K255" s="39"/>
    </row>
    <row r="256" spans="1:22" ht="14.25" x14ac:dyDescent="0.2">
      <c r="A256" s="34"/>
      <c r="B256" s="35"/>
      <c r="C256" s="35" t="s">
        <v>681</v>
      </c>
      <c r="D256" s="36" t="s">
        <v>680</v>
      </c>
      <c r="E256" s="28">
        <f>Source!CA71</f>
        <v>41</v>
      </c>
      <c r="F256" s="38"/>
      <c r="G256" s="37"/>
      <c r="H256" s="28"/>
      <c r="I256" s="28"/>
      <c r="J256" s="39">
        <f>SUM(T246:T255)</f>
        <v>27665.64</v>
      </c>
      <c r="K256" s="39"/>
    </row>
    <row r="257" spans="1:22" ht="14.25" x14ac:dyDescent="0.2">
      <c r="A257" s="34"/>
      <c r="B257" s="35"/>
      <c r="C257" s="35" t="s">
        <v>682</v>
      </c>
      <c r="D257" s="36" t="s">
        <v>680</v>
      </c>
      <c r="E257" s="28">
        <f>157</f>
        <v>157</v>
      </c>
      <c r="F257" s="38"/>
      <c r="G257" s="37"/>
      <c r="H257" s="28"/>
      <c r="I257" s="28"/>
      <c r="J257" s="39">
        <f>SUM(V246:V256)</f>
        <v>325.45999999999998</v>
      </c>
      <c r="K257" s="39"/>
    </row>
    <row r="258" spans="1:22" ht="14.25" x14ac:dyDescent="0.2">
      <c r="A258" s="46"/>
      <c r="B258" s="47"/>
      <c r="C258" s="47" t="s">
        <v>683</v>
      </c>
      <c r="D258" s="48" t="s">
        <v>684</v>
      </c>
      <c r="E258" s="49">
        <f>Source!AQ71</f>
        <v>115.26</v>
      </c>
      <c r="F258" s="50"/>
      <c r="G258" s="51" t="str">
        <f>Source!DI71</f>
        <v>)*1,15</v>
      </c>
      <c r="H258" s="49">
        <f>Source!AV71</f>
        <v>1.0249999999999999</v>
      </c>
      <c r="I258" s="49"/>
      <c r="J258" s="52"/>
      <c r="K258" s="52">
        <f>Source!U71</f>
        <v>279.87721349999998</v>
      </c>
    </row>
    <row r="259" spans="1:22" ht="15" x14ac:dyDescent="0.25">
      <c r="A259" s="53"/>
      <c r="B259" s="53"/>
      <c r="C259" s="54" t="s">
        <v>685</v>
      </c>
      <c r="D259" s="53"/>
      <c r="E259" s="53"/>
      <c r="F259" s="53"/>
      <c r="G259" s="53"/>
      <c r="H259" s="53"/>
      <c r="I259" s="55">
        <f>J248+J249+J251+J255+J256+J257+SUM(J252:J254)</f>
        <v>224408.66999999998</v>
      </c>
      <c r="J259" s="55"/>
      <c r="K259" s="56">
        <f>IF(Source!I71&lt;&gt;0, ROUND(I259/Source!I71, 2), 0)</f>
        <v>108936.25</v>
      </c>
      <c r="P259" s="43">
        <f>J248+J249+J251+J255+J256+J257+SUM(J252:J254)</f>
        <v>224408.66999999998</v>
      </c>
    </row>
    <row r="261" spans="1:22" ht="85.5" x14ac:dyDescent="0.2">
      <c r="A261" s="34" t="str">
        <f>Source!E75</f>
        <v>19</v>
      </c>
      <c r="B261" s="35" t="str">
        <f>Source!F75</f>
        <v>3.10-92-1</v>
      </c>
      <c r="C261" s="35" t="s">
        <v>236</v>
      </c>
      <c r="D261" s="36" t="str">
        <f>Source!H75</f>
        <v>100 м2 перегородки</v>
      </c>
      <c r="E261" s="28">
        <f>Source!I75</f>
        <v>0.25</v>
      </c>
      <c r="F261" s="38"/>
      <c r="G261" s="37"/>
      <c r="H261" s="28"/>
      <c r="I261" s="28"/>
      <c r="J261" s="39"/>
      <c r="K261" s="39"/>
      <c r="Q261">
        <f>ROUND((Source!DN75/100)*ROUND((Source!AF75*Source!AV75)*Source!I75, 2), 2)</f>
        <v>718.07</v>
      </c>
      <c r="R261">
        <f>Source!X75</f>
        <v>11751.07</v>
      </c>
      <c r="S261">
        <f>ROUND((Source!DO75/100)*ROUND((Source!AF75*Source!AV75)*Source!I75, 2), 2)</f>
        <v>552.36</v>
      </c>
      <c r="T261">
        <f>Source!Y75</f>
        <v>6599.92</v>
      </c>
      <c r="U261">
        <f>ROUND((175/100)*ROUND((Source!AE75*Source!AV75)*Source!I75, 2), 2)</f>
        <v>21.89</v>
      </c>
      <c r="V261">
        <f>ROUND((157/100)*ROUND(Source!CS75*Source!I75, 2), 2)</f>
        <v>400.62</v>
      </c>
    </row>
    <row r="262" spans="1:22" x14ac:dyDescent="0.2">
      <c r="C262" s="40" t="str">
        <f>"Объем: "&amp;Source!I75&amp;"=25/"&amp;"100"</f>
        <v>Объем: 0,25=25/100</v>
      </c>
    </row>
    <row r="263" spans="1:22" ht="14.25" x14ac:dyDescent="0.2">
      <c r="A263" s="34"/>
      <c r="B263" s="35"/>
      <c r="C263" s="35" t="s">
        <v>675</v>
      </c>
      <c r="D263" s="36"/>
      <c r="E263" s="28"/>
      <c r="F263" s="38">
        <f>Source!AO75</f>
        <v>2621.44</v>
      </c>
      <c r="G263" s="37" t="str">
        <f>Source!DG75</f>
        <v>)*1,15</v>
      </c>
      <c r="H263" s="28">
        <f>Source!AV75</f>
        <v>1.0469999999999999</v>
      </c>
      <c r="I263" s="28">
        <f>IF(Source!BA75&lt;&gt; 0, Source!BA75, 1)</f>
        <v>20.399999999999999</v>
      </c>
      <c r="J263" s="39">
        <f>Source!S75</f>
        <v>16097.36</v>
      </c>
      <c r="K263" s="39"/>
    </row>
    <row r="264" spans="1:22" ht="14.25" x14ac:dyDescent="0.2">
      <c r="A264" s="34"/>
      <c r="B264" s="35"/>
      <c r="C264" s="35" t="s">
        <v>676</v>
      </c>
      <c r="D264" s="36"/>
      <c r="E264" s="28"/>
      <c r="F264" s="38">
        <f>Source!AM75</f>
        <v>146.93</v>
      </c>
      <c r="G264" s="37" t="str">
        <f>Source!DE75</f>
        <v>)*1,25</v>
      </c>
      <c r="H264" s="28">
        <f>Source!AV75</f>
        <v>1.0469999999999999</v>
      </c>
      <c r="I264" s="28">
        <f>IF(Source!BB75&lt;&gt; 0, Source!BB75, 1)</f>
        <v>8.69</v>
      </c>
      <c r="J264" s="39">
        <f>Source!Q75</f>
        <v>417.76</v>
      </c>
      <c r="K264" s="39"/>
    </row>
    <row r="265" spans="1:22" ht="14.25" x14ac:dyDescent="0.2">
      <c r="A265" s="34"/>
      <c r="B265" s="35"/>
      <c r="C265" s="35" t="s">
        <v>677</v>
      </c>
      <c r="D265" s="36"/>
      <c r="E265" s="28"/>
      <c r="F265" s="38">
        <f>Source!AN75</f>
        <v>38.229999999999997</v>
      </c>
      <c r="G265" s="37" t="str">
        <f>Source!DF75</f>
        <v>)*1,25</v>
      </c>
      <c r="H265" s="28">
        <f>Source!AV75</f>
        <v>1.0469999999999999</v>
      </c>
      <c r="I265" s="28">
        <f>IF(Source!BS75&lt;&gt; 0, Source!BS75, 1)</f>
        <v>20.399999999999999</v>
      </c>
      <c r="J265" s="41">
        <f>Source!R75</f>
        <v>255.17</v>
      </c>
      <c r="K265" s="39"/>
    </row>
    <row r="266" spans="1:22" ht="14.25" x14ac:dyDescent="0.2">
      <c r="A266" s="34"/>
      <c r="B266" s="35"/>
      <c r="C266" s="35" t="s">
        <v>678</v>
      </c>
      <c r="D266" s="36"/>
      <c r="E266" s="28"/>
      <c r="F266" s="38">
        <f>Source!AL75</f>
        <v>2286.2199999999998</v>
      </c>
      <c r="G266" s="37" t="str">
        <f>Source!DD75</f>
        <v/>
      </c>
      <c r="H266" s="28">
        <f>Source!AW75</f>
        <v>1</v>
      </c>
      <c r="I266" s="28">
        <f>IF(Source!BC75&lt;&gt; 0, Source!BC75, 1)</f>
        <v>3.13</v>
      </c>
      <c r="J266" s="39">
        <f>Source!P75</f>
        <v>1788.97</v>
      </c>
      <c r="K266" s="39"/>
    </row>
    <row r="267" spans="1:22" ht="42.75" x14ac:dyDescent="0.2">
      <c r="A267" s="34" t="str">
        <f>Source!E76</f>
        <v>19,1</v>
      </c>
      <c r="B267" s="35" t="str">
        <f>Source!F76</f>
        <v>2245214000</v>
      </c>
      <c r="C267" s="35" t="s">
        <v>243</v>
      </c>
      <c r="D267" s="36" t="str">
        <f>Source!H76</f>
        <v>м</v>
      </c>
      <c r="E267" s="28">
        <f>Source!I76</f>
        <v>66.75</v>
      </c>
      <c r="F267" s="38">
        <f>Source!AK76</f>
        <v>0</v>
      </c>
      <c r="G267" s="42" t="s">
        <v>3</v>
      </c>
      <c r="H267" s="28">
        <f>Source!AW76</f>
        <v>1</v>
      </c>
      <c r="I267" s="28">
        <f>IF(Source!BC76&lt;&gt; 0, Source!BC76, 1)</f>
        <v>1</v>
      </c>
      <c r="J267" s="39">
        <f>Source!O76</f>
        <v>0</v>
      </c>
      <c r="K267" s="39"/>
      <c r="Q267">
        <f>ROUND((Source!DN76/100)*ROUND((Source!AF76*Source!AV76)*Source!I76, 2), 2)</f>
        <v>0</v>
      </c>
      <c r="R267">
        <f>Source!X76</f>
        <v>0</v>
      </c>
      <c r="S267">
        <f>ROUND((Source!DO76/100)*ROUND((Source!AF76*Source!AV76)*Source!I76, 2), 2)</f>
        <v>0</v>
      </c>
      <c r="T267">
        <f>Source!Y76</f>
        <v>0</v>
      </c>
      <c r="U267">
        <f>ROUND((175/100)*ROUND((Source!AE76*Source!AV76)*Source!I76, 2), 2)</f>
        <v>0</v>
      </c>
      <c r="V267">
        <f>ROUND((157/100)*ROUND(Source!CS76*Source!I76, 2), 2)</f>
        <v>0</v>
      </c>
    </row>
    <row r="268" spans="1:22" ht="57" x14ac:dyDescent="0.2">
      <c r="A268" s="34" t="str">
        <f>Source!E77</f>
        <v>19,2</v>
      </c>
      <c r="B268" s="35" t="str">
        <f>Source!F77</f>
        <v>1.7-4-29</v>
      </c>
      <c r="C268" s="35" t="s">
        <v>246</v>
      </c>
      <c r="D268" s="36" t="str">
        <f>Source!H77</f>
        <v>м</v>
      </c>
      <c r="E268" s="28">
        <f>Source!I77</f>
        <v>101.75</v>
      </c>
      <c r="F268" s="38">
        <f>Source!AK77</f>
        <v>28.06</v>
      </c>
      <c r="G268" s="42" t="s">
        <v>3</v>
      </c>
      <c r="H268" s="28">
        <f>Source!AW77</f>
        <v>1</v>
      </c>
      <c r="I268" s="28">
        <f>IF(Source!BC77&lt;&gt; 0, Source!BC77, 1)</f>
        <v>2.3199999999999998</v>
      </c>
      <c r="J268" s="39">
        <f>Source!O77</f>
        <v>6623.84</v>
      </c>
      <c r="K268" s="39"/>
      <c r="Q268">
        <f>ROUND((Source!DN77/100)*ROUND((Source!AF77*Source!AV77)*Source!I77, 2), 2)</f>
        <v>0</v>
      </c>
      <c r="R268">
        <f>Source!X77</f>
        <v>0</v>
      </c>
      <c r="S268">
        <f>ROUND((Source!DO77/100)*ROUND((Source!AF77*Source!AV77)*Source!I77, 2), 2)</f>
        <v>0</v>
      </c>
      <c r="T268">
        <f>Source!Y77</f>
        <v>0</v>
      </c>
      <c r="U268">
        <f>ROUND((175/100)*ROUND((Source!AE77*Source!AV77)*Source!I77, 2), 2)</f>
        <v>0</v>
      </c>
      <c r="V268">
        <f>ROUND((157/100)*ROUND(Source!CS77*Source!I77, 2), 2)</f>
        <v>0</v>
      </c>
    </row>
    <row r="269" spans="1:22" ht="57" x14ac:dyDescent="0.2">
      <c r="A269" s="34" t="str">
        <f>Source!E78</f>
        <v>19,3</v>
      </c>
      <c r="B269" s="35" t="str">
        <f>Source!F78</f>
        <v>1.7-4-33</v>
      </c>
      <c r="C269" s="35" t="s">
        <v>250</v>
      </c>
      <c r="D269" s="36" t="str">
        <f>Source!H78</f>
        <v>м</v>
      </c>
      <c r="E269" s="28">
        <f>Source!I78</f>
        <v>37.75</v>
      </c>
      <c r="F269" s="38">
        <f>Source!AK78</f>
        <v>25.67</v>
      </c>
      <c r="G269" s="42" t="s">
        <v>3</v>
      </c>
      <c r="H269" s="28">
        <f>Source!AW78</f>
        <v>1</v>
      </c>
      <c r="I269" s="28">
        <f>IF(Source!BC78&lt;&gt; 0, Source!BC78, 1)</f>
        <v>2.93</v>
      </c>
      <c r="J269" s="39">
        <f>Source!O78</f>
        <v>2839.29</v>
      </c>
      <c r="K269" s="39"/>
      <c r="Q269">
        <f>ROUND((Source!DN78/100)*ROUND((Source!AF78*Source!AV78)*Source!I78, 2), 2)</f>
        <v>0</v>
      </c>
      <c r="R269">
        <f>Source!X78</f>
        <v>0</v>
      </c>
      <c r="S269">
        <f>ROUND((Source!DO78/100)*ROUND((Source!AF78*Source!AV78)*Source!I78, 2), 2)</f>
        <v>0</v>
      </c>
      <c r="T269">
        <f>Source!Y78</f>
        <v>0</v>
      </c>
      <c r="U269">
        <f>ROUND((175/100)*ROUND((Source!AE78*Source!AV78)*Source!I78, 2), 2)</f>
        <v>0</v>
      </c>
      <c r="V269">
        <f>ROUND((157/100)*ROUND(Source!CS78*Source!I78, 2), 2)</f>
        <v>0</v>
      </c>
    </row>
    <row r="270" spans="1:22" ht="28.5" x14ac:dyDescent="0.2">
      <c r="A270" s="34" t="str">
        <f>Source!E79</f>
        <v>19,4</v>
      </c>
      <c r="B270" s="35" t="str">
        <f>Source!F79</f>
        <v>1.1-1-567</v>
      </c>
      <c r="C270" s="35" t="s">
        <v>254</v>
      </c>
      <c r="D270" s="36" t="str">
        <f>Source!H79</f>
        <v>м2</v>
      </c>
      <c r="E270" s="28">
        <f>Source!I79</f>
        <v>131.5</v>
      </c>
      <c r="F270" s="38">
        <f>Source!AK79</f>
        <v>34.68</v>
      </c>
      <c r="G270" s="42" t="s">
        <v>3</v>
      </c>
      <c r="H270" s="28">
        <f>Source!AW79</f>
        <v>1</v>
      </c>
      <c r="I270" s="28">
        <f>IF(Source!BC79&lt;&gt; 0, Source!BC79, 1)</f>
        <v>1.48</v>
      </c>
      <c r="J270" s="39">
        <f>Source!O79</f>
        <v>6749.42</v>
      </c>
      <c r="K270" s="39"/>
      <c r="Q270">
        <f>ROUND((Source!DN79/100)*ROUND((Source!AF79*Source!AV79)*Source!I79, 2), 2)</f>
        <v>0</v>
      </c>
      <c r="R270">
        <f>Source!X79</f>
        <v>0</v>
      </c>
      <c r="S270">
        <f>ROUND((Source!DO79/100)*ROUND((Source!AF79*Source!AV79)*Source!I79, 2), 2)</f>
        <v>0</v>
      </c>
      <c r="T270">
        <f>Source!Y79</f>
        <v>0</v>
      </c>
      <c r="U270">
        <f>ROUND((175/100)*ROUND((Source!AE79*Source!AV79)*Source!I79, 2), 2)</f>
        <v>0</v>
      </c>
      <c r="V270">
        <f>ROUND((157/100)*ROUND(Source!CS79*Source!I79, 2), 2)</f>
        <v>0</v>
      </c>
    </row>
    <row r="271" spans="1:22" ht="42.75" x14ac:dyDescent="0.2">
      <c r="A271" s="34" t="str">
        <f>Source!E80</f>
        <v>19,5</v>
      </c>
      <c r="B271" s="35" t="str">
        <f>Source!F80</f>
        <v>1.1-1-890</v>
      </c>
      <c r="C271" s="35" t="s">
        <v>258</v>
      </c>
      <c r="D271" s="36" t="str">
        <f>Source!H80</f>
        <v>м3</v>
      </c>
      <c r="E271" s="28">
        <f>Source!I80</f>
        <v>2.5750000000000002</v>
      </c>
      <c r="F271" s="38">
        <f>Source!AK80</f>
        <v>806.26</v>
      </c>
      <c r="G271" s="42" t="s">
        <v>3</v>
      </c>
      <c r="H271" s="28">
        <f>Source!AW80</f>
        <v>1</v>
      </c>
      <c r="I271" s="28">
        <f>IF(Source!BC80&lt;&gt; 0, Source!BC80, 1)</f>
        <v>4.05</v>
      </c>
      <c r="J271" s="39">
        <f>Source!O80</f>
        <v>8408.2800000000007</v>
      </c>
      <c r="K271" s="39"/>
      <c r="Q271">
        <f>ROUND((Source!DN80/100)*ROUND((Source!AF80*Source!AV80)*Source!I80, 2), 2)</f>
        <v>0</v>
      </c>
      <c r="R271">
        <f>Source!X80</f>
        <v>0</v>
      </c>
      <c r="S271">
        <f>ROUND((Source!DO80/100)*ROUND((Source!AF80*Source!AV80)*Source!I80, 2), 2)</f>
        <v>0</v>
      </c>
      <c r="T271">
        <f>Source!Y80</f>
        <v>0</v>
      </c>
      <c r="U271">
        <f>ROUND((175/100)*ROUND((Source!AE80*Source!AV80)*Source!I80, 2), 2)</f>
        <v>0</v>
      </c>
      <c r="V271">
        <f>ROUND((157/100)*ROUND(Source!CS80*Source!I80, 2), 2)</f>
        <v>0</v>
      </c>
    </row>
    <row r="272" spans="1:22" ht="14.25" x14ac:dyDescent="0.2">
      <c r="A272" s="34"/>
      <c r="B272" s="35"/>
      <c r="C272" s="35" t="s">
        <v>679</v>
      </c>
      <c r="D272" s="36" t="s">
        <v>680</v>
      </c>
      <c r="E272" s="28">
        <f>Source!BZ75</f>
        <v>73</v>
      </c>
      <c r="F272" s="38"/>
      <c r="G272" s="37"/>
      <c r="H272" s="28"/>
      <c r="I272" s="28"/>
      <c r="J272" s="39">
        <f>SUM(R261:R271)</f>
        <v>11751.07</v>
      </c>
      <c r="K272" s="39"/>
    </row>
    <row r="273" spans="1:22" ht="14.25" x14ac:dyDescent="0.2">
      <c r="A273" s="34"/>
      <c r="B273" s="35"/>
      <c r="C273" s="35" t="s">
        <v>681</v>
      </c>
      <c r="D273" s="36" t="s">
        <v>680</v>
      </c>
      <c r="E273" s="28">
        <f>Source!CA75</f>
        <v>41</v>
      </c>
      <c r="F273" s="38"/>
      <c r="G273" s="37"/>
      <c r="H273" s="28"/>
      <c r="I273" s="28"/>
      <c r="J273" s="39">
        <f>SUM(T261:T272)</f>
        <v>6599.92</v>
      </c>
      <c r="K273" s="39"/>
    </row>
    <row r="274" spans="1:22" ht="14.25" x14ac:dyDescent="0.2">
      <c r="A274" s="34"/>
      <c r="B274" s="35"/>
      <c r="C274" s="35" t="s">
        <v>682</v>
      </c>
      <c r="D274" s="36" t="s">
        <v>680</v>
      </c>
      <c r="E274" s="28">
        <f>157</f>
        <v>157</v>
      </c>
      <c r="F274" s="38"/>
      <c r="G274" s="37"/>
      <c r="H274" s="28"/>
      <c r="I274" s="28"/>
      <c r="J274" s="39">
        <f>SUM(V261:V273)</f>
        <v>400.62</v>
      </c>
      <c r="K274" s="39"/>
    </row>
    <row r="275" spans="1:22" ht="14.25" x14ac:dyDescent="0.2">
      <c r="A275" s="46"/>
      <c r="B275" s="47"/>
      <c r="C275" s="47" t="s">
        <v>683</v>
      </c>
      <c r="D275" s="48" t="s">
        <v>684</v>
      </c>
      <c r="E275" s="49">
        <f>Source!AQ75</f>
        <v>221.55</v>
      </c>
      <c r="F275" s="50"/>
      <c r="G275" s="51" t="str">
        <f>Source!DI75</f>
        <v>)*1,15</v>
      </c>
      <c r="H275" s="49">
        <f>Source!AV75</f>
        <v>1.0469999999999999</v>
      </c>
      <c r="I275" s="49"/>
      <c r="J275" s="52"/>
      <c r="K275" s="52">
        <f>Source!U75</f>
        <v>66.689319374999997</v>
      </c>
    </row>
    <row r="276" spans="1:22" ht="15" x14ac:dyDescent="0.25">
      <c r="A276" s="53"/>
      <c r="B276" s="53"/>
      <c r="C276" s="54" t="s">
        <v>685</v>
      </c>
      <c r="D276" s="53"/>
      <c r="E276" s="53"/>
      <c r="F276" s="53"/>
      <c r="G276" s="53"/>
      <c r="H276" s="53"/>
      <c r="I276" s="55">
        <f>J263+J264+J266+J272+J273+J274+SUM(J267:J271)</f>
        <v>61676.530000000006</v>
      </c>
      <c r="J276" s="55"/>
      <c r="K276" s="56">
        <f>IF(Source!I75&lt;&gt;0, ROUND(I276/Source!I75, 2), 0)</f>
        <v>246706.12</v>
      </c>
      <c r="P276" s="43">
        <f>J263+J264+J266+J272+J273+J274+SUM(J267:J271)</f>
        <v>61676.530000000006</v>
      </c>
    </row>
    <row r="278" spans="1:22" ht="42.75" x14ac:dyDescent="0.2">
      <c r="A278" s="34" t="str">
        <f>Source!E81</f>
        <v>20</v>
      </c>
      <c r="B278" s="35" t="str">
        <f>Source!F81</f>
        <v>3.9-74-1</v>
      </c>
      <c r="C278" s="35" t="s">
        <v>262</v>
      </c>
      <c r="D278" s="36" t="str">
        <f>Source!H81</f>
        <v>10 шт.</v>
      </c>
      <c r="E278" s="28">
        <f>Source!I81</f>
        <v>0.2</v>
      </c>
      <c r="F278" s="38"/>
      <c r="G278" s="37"/>
      <c r="H278" s="28"/>
      <c r="I278" s="28"/>
      <c r="J278" s="39"/>
      <c r="K278" s="39"/>
      <c r="Q278">
        <f>ROUND((Source!DN81/100)*ROUND((Source!AF81*Source!AV81)*Source!I81, 2), 2)</f>
        <v>140.35</v>
      </c>
      <c r="R278">
        <f>Source!X81</f>
        <v>2290.5300000000002</v>
      </c>
      <c r="S278">
        <f>ROUND((Source!DO81/100)*ROUND((Source!AF81*Source!AV81)*Source!I81, 2), 2)</f>
        <v>115.58</v>
      </c>
      <c r="T278">
        <f>Source!Y81</f>
        <v>1381.06</v>
      </c>
      <c r="U278">
        <f>ROUND((175/100)*ROUND((Source!AE81*Source!AV81)*Source!I81, 2), 2)</f>
        <v>1.37</v>
      </c>
      <c r="V278">
        <f>ROUND((157/100)*ROUND(Source!CS81*Source!I81, 2), 2)</f>
        <v>25.07</v>
      </c>
    </row>
    <row r="279" spans="1:22" x14ac:dyDescent="0.2">
      <c r="C279" s="40" t="str">
        <f>"Объем: "&amp;Source!I81&amp;"=2/"&amp;"10"</f>
        <v>Объем: 0,2=2/10</v>
      </c>
    </row>
    <row r="280" spans="1:22" ht="14.25" x14ac:dyDescent="0.2">
      <c r="A280" s="34"/>
      <c r="B280" s="35"/>
      <c r="C280" s="35" t="s">
        <v>675</v>
      </c>
      <c r="D280" s="36"/>
      <c r="E280" s="28"/>
      <c r="F280" s="38">
        <f>Source!AO81</f>
        <v>660.45</v>
      </c>
      <c r="G280" s="37" t="str">
        <f>Source!DG81</f>
        <v>)*1,15</v>
      </c>
      <c r="H280" s="28">
        <f>Source!AV81</f>
        <v>1.087</v>
      </c>
      <c r="I280" s="28">
        <f>IF(Source!BA81&lt;&gt; 0, Source!BA81, 1)</f>
        <v>20.399999999999999</v>
      </c>
      <c r="J280" s="39">
        <f>Source!S81</f>
        <v>3368.43</v>
      </c>
      <c r="K280" s="39"/>
    </row>
    <row r="281" spans="1:22" ht="14.25" x14ac:dyDescent="0.2">
      <c r="A281" s="34"/>
      <c r="B281" s="35"/>
      <c r="C281" s="35" t="s">
        <v>676</v>
      </c>
      <c r="D281" s="36"/>
      <c r="E281" s="28"/>
      <c r="F281" s="38">
        <f>Source!AM81</f>
        <v>23.33</v>
      </c>
      <c r="G281" s="37" t="str">
        <f>Source!DE81</f>
        <v>)*1,25</v>
      </c>
      <c r="H281" s="28">
        <f>Source!AV81</f>
        <v>1.087</v>
      </c>
      <c r="I281" s="28">
        <f>IF(Source!BB81&lt;&gt; 0, Source!BB81, 1)</f>
        <v>6.21</v>
      </c>
      <c r="J281" s="39">
        <f>Source!Q81</f>
        <v>39.369999999999997</v>
      </c>
      <c r="K281" s="39"/>
    </row>
    <row r="282" spans="1:22" ht="14.25" x14ac:dyDescent="0.2">
      <c r="A282" s="34"/>
      <c r="B282" s="35"/>
      <c r="C282" s="35" t="s">
        <v>677</v>
      </c>
      <c r="D282" s="36"/>
      <c r="E282" s="28"/>
      <c r="F282" s="38">
        <f>Source!AN81</f>
        <v>2.88</v>
      </c>
      <c r="G282" s="37" t="str">
        <f>Source!DF81</f>
        <v>)*1,25</v>
      </c>
      <c r="H282" s="28">
        <f>Source!AV81</f>
        <v>1.087</v>
      </c>
      <c r="I282" s="28">
        <f>IF(Source!BS81&lt;&gt; 0, Source!BS81, 1)</f>
        <v>20.399999999999999</v>
      </c>
      <c r="J282" s="41">
        <f>Source!R81</f>
        <v>15.97</v>
      </c>
      <c r="K282" s="39"/>
    </row>
    <row r="283" spans="1:22" ht="14.25" x14ac:dyDescent="0.2">
      <c r="A283" s="34"/>
      <c r="B283" s="35"/>
      <c r="C283" s="35" t="s">
        <v>678</v>
      </c>
      <c r="D283" s="36"/>
      <c r="E283" s="28"/>
      <c r="F283" s="38">
        <f>Source!AL81</f>
        <v>2766.32</v>
      </c>
      <c r="G283" s="37" t="str">
        <f>Source!DD81</f>
        <v/>
      </c>
      <c r="H283" s="28">
        <f>Source!AW81</f>
        <v>1</v>
      </c>
      <c r="I283" s="28">
        <f>IF(Source!BC81&lt;&gt; 0, Source!BC81, 1)</f>
        <v>4.18</v>
      </c>
      <c r="J283" s="39">
        <f>Source!P81</f>
        <v>2312.64</v>
      </c>
      <c r="K283" s="39"/>
    </row>
    <row r="284" spans="1:22" ht="114" x14ac:dyDescent="0.2">
      <c r="A284" s="34" t="str">
        <f>Source!E82</f>
        <v>20,1</v>
      </c>
      <c r="B284" s="35" t="str">
        <f>Source!F82</f>
        <v>1.7-2-261</v>
      </c>
      <c r="C284" s="35" t="s">
        <v>269</v>
      </c>
      <c r="D284" s="36" t="str">
        <f>Source!H82</f>
        <v>шт.</v>
      </c>
      <c r="E284" s="28">
        <f>Source!I82</f>
        <v>2</v>
      </c>
      <c r="F284" s="38">
        <f>Source!AK82</f>
        <v>7495.77</v>
      </c>
      <c r="G284" s="42" t="s">
        <v>3</v>
      </c>
      <c r="H284" s="28">
        <f>Source!AW82</f>
        <v>1</v>
      </c>
      <c r="I284" s="28">
        <f>IF(Source!BC82&lt;&gt; 0, Source!BC82, 1)</f>
        <v>1.91</v>
      </c>
      <c r="J284" s="39">
        <f>Source!O82</f>
        <v>28633.84</v>
      </c>
      <c r="K284" s="39"/>
      <c r="Q284">
        <f>ROUND((Source!DN82/100)*ROUND((Source!AF82*Source!AV82)*Source!I82, 2), 2)</f>
        <v>0</v>
      </c>
      <c r="R284">
        <f>Source!X82</f>
        <v>0</v>
      </c>
      <c r="S284">
        <f>ROUND((Source!DO82/100)*ROUND((Source!AF82*Source!AV82)*Source!I82, 2), 2)</f>
        <v>0</v>
      </c>
      <c r="T284">
        <f>Source!Y82</f>
        <v>0</v>
      </c>
      <c r="U284">
        <f>ROUND((175/100)*ROUND((Source!AE82*Source!AV82)*Source!I82, 2), 2)</f>
        <v>0</v>
      </c>
      <c r="V284">
        <f>ROUND((157/100)*ROUND(Source!CS82*Source!I82, 2), 2)</f>
        <v>0</v>
      </c>
    </row>
    <row r="285" spans="1:22" ht="14.25" x14ac:dyDescent="0.2">
      <c r="A285" s="34"/>
      <c r="B285" s="35"/>
      <c r="C285" s="35" t="s">
        <v>679</v>
      </c>
      <c r="D285" s="36" t="s">
        <v>680</v>
      </c>
      <c r="E285" s="28">
        <f>Source!BZ81</f>
        <v>68</v>
      </c>
      <c r="F285" s="38"/>
      <c r="G285" s="37"/>
      <c r="H285" s="28"/>
      <c r="I285" s="28"/>
      <c r="J285" s="39">
        <f>SUM(R278:R284)</f>
        <v>2290.5300000000002</v>
      </c>
      <c r="K285" s="39"/>
    </row>
    <row r="286" spans="1:22" ht="14.25" x14ac:dyDescent="0.2">
      <c r="A286" s="34"/>
      <c r="B286" s="35"/>
      <c r="C286" s="35" t="s">
        <v>681</v>
      </c>
      <c r="D286" s="36" t="s">
        <v>680</v>
      </c>
      <c r="E286" s="28">
        <f>Source!CA81</f>
        <v>41</v>
      </c>
      <c r="F286" s="38"/>
      <c r="G286" s="37"/>
      <c r="H286" s="28"/>
      <c r="I286" s="28"/>
      <c r="J286" s="39">
        <f>SUM(T278:T285)</f>
        <v>1381.06</v>
      </c>
      <c r="K286" s="39"/>
    </row>
    <row r="287" spans="1:22" ht="14.25" x14ac:dyDescent="0.2">
      <c r="A287" s="34"/>
      <c r="B287" s="35"/>
      <c r="C287" s="35" t="s">
        <v>682</v>
      </c>
      <c r="D287" s="36" t="s">
        <v>680</v>
      </c>
      <c r="E287" s="28">
        <f>157</f>
        <v>157</v>
      </c>
      <c r="F287" s="38"/>
      <c r="G287" s="37"/>
      <c r="H287" s="28"/>
      <c r="I287" s="28"/>
      <c r="J287" s="39">
        <f>SUM(V278:V286)</f>
        <v>25.07</v>
      </c>
      <c r="K287" s="39"/>
    </row>
    <row r="288" spans="1:22" ht="14.25" x14ac:dyDescent="0.2">
      <c r="A288" s="46"/>
      <c r="B288" s="47"/>
      <c r="C288" s="47" t="s">
        <v>683</v>
      </c>
      <c r="D288" s="48" t="s">
        <v>684</v>
      </c>
      <c r="E288" s="49">
        <f>Source!AQ81</f>
        <v>56.18</v>
      </c>
      <c r="F288" s="50"/>
      <c r="G288" s="51" t="str">
        <f>Source!DI81</f>
        <v>)*1,15</v>
      </c>
      <c r="H288" s="49">
        <f>Source!AV81</f>
        <v>1.087</v>
      </c>
      <c r="I288" s="49"/>
      <c r="J288" s="52"/>
      <c r="K288" s="52">
        <f>Source!U81</f>
        <v>14.0455618</v>
      </c>
    </row>
    <row r="289" spans="1:22" ht="15" x14ac:dyDescent="0.25">
      <c r="A289" s="53"/>
      <c r="B289" s="53"/>
      <c r="C289" s="54" t="s">
        <v>685</v>
      </c>
      <c r="D289" s="53"/>
      <c r="E289" s="53"/>
      <c r="F289" s="53"/>
      <c r="G289" s="53"/>
      <c r="H289" s="53"/>
      <c r="I289" s="55">
        <f>J280+J281+J283+J285+J286+J287+SUM(J284:J284)</f>
        <v>38050.94</v>
      </c>
      <c r="J289" s="55"/>
      <c r="K289" s="56">
        <f>IF(Source!I81&lt;&gt;0, ROUND(I289/Source!I81, 2), 0)</f>
        <v>190254.7</v>
      </c>
      <c r="P289" s="43">
        <f>J280+J281+J283+J285+J286+J287+SUM(J284:J284)</f>
        <v>38050.94</v>
      </c>
    </row>
    <row r="291" spans="1:22" ht="57" x14ac:dyDescent="0.2">
      <c r="A291" s="34" t="str">
        <f>Source!E83</f>
        <v>21</v>
      </c>
      <c r="B291" s="35" t="str">
        <f>Source!F83</f>
        <v>3.10-21-1</v>
      </c>
      <c r="C291" s="35" t="s">
        <v>274</v>
      </c>
      <c r="D291" s="36" t="str">
        <f>Source!H83</f>
        <v>100 м2 проемов</v>
      </c>
      <c r="E291" s="28">
        <f>Source!I83</f>
        <v>0.27</v>
      </c>
      <c r="F291" s="38"/>
      <c r="G291" s="37"/>
      <c r="H291" s="28"/>
      <c r="I291" s="28"/>
      <c r="J291" s="39"/>
      <c r="K291" s="39"/>
      <c r="Q291">
        <f>ROUND((Source!DN83/100)*ROUND((Source!AF83*Source!AV83)*Source!I83, 2), 2)</f>
        <v>369.17</v>
      </c>
      <c r="R291">
        <f>Source!X83</f>
        <v>6096.55</v>
      </c>
      <c r="S291">
        <f>ROUND((Source!DO83/100)*ROUND((Source!AF83*Source!AV83)*Source!I83, 2), 2)</f>
        <v>246.11</v>
      </c>
      <c r="T291">
        <f>Source!Y83</f>
        <v>2940.69</v>
      </c>
      <c r="U291">
        <f>ROUND((175/100)*ROUND((Source!AE83*Source!AV83)*Source!I83, 2), 2)</f>
        <v>45.55</v>
      </c>
      <c r="V291">
        <f>ROUND((157/100)*ROUND(Source!CS83*Source!I83, 2), 2)</f>
        <v>833.76</v>
      </c>
    </row>
    <row r="292" spans="1:22" x14ac:dyDescent="0.2">
      <c r="C292" s="40" t="str">
        <f>"Объем: "&amp;Source!I83&amp;"=(1,8*"&amp;"15)/"&amp;"100"</f>
        <v>Объем: 0,27=(1,8*15)/100</v>
      </c>
    </row>
    <row r="293" spans="1:22" ht="14.25" x14ac:dyDescent="0.2">
      <c r="A293" s="34"/>
      <c r="B293" s="35"/>
      <c r="C293" s="35" t="s">
        <v>675</v>
      </c>
      <c r="D293" s="36"/>
      <c r="E293" s="28"/>
      <c r="F293" s="38">
        <f>Source!AO83</f>
        <v>1081.5</v>
      </c>
      <c r="G293" s="37" t="str">
        <f>Source!DG83</f>
        <v>)*1,15</v>
      </c>
      <c r="H293" s="28">
        <f>Source!AV83</f>
        <v>1.0469999999999999</v>
      </c>
      <c r="I293" s="28">
        <f>IF(Source!BA83&lt;&gt; 0, Source!BA83, 1)</f>
        <v>20.399999999999999</v>
      </c>
      <c r="J293" s="39">
        <f>Source!S83</f>
        <v>7172.41</v>
      </c>
      <c r="K293" s="39"/>
    </row>
    <row r="294" spans="1:22" ht="14.25" x14ac:dyDescent="0.2">
      <c r="A294" s="34"/>
      <c r="B294" s="35"/>
      <c r="C294" s="35" t="s">
        <v>676</v>
      </c>
      <c r="D294" s="36"/>
      <c r="E294" s="28"/>
      <c r="F294" s="38">
        <f>Source!AM83</f>
        <v>319.58</v>
      </c>
      <c r="G294" s="37" t="str">
        <f>Source!DE83</f>
        <v>)*1,25</v>
      </c>
      <c r="H294" s="28">
        <f>Source!AV83</f>
        <v>1.0469999999999999</v>
      </c>
      <c r="I294" s="28">
        <f>IF(Source!BB83&lt;&gt; 0, Source!BB83, 1)</f>
        <v>8.5399999999999991</v>
      </c>
      <c r="J294" s="39">
        <f>Source!Q83</f>
        <v>964.4</v>
      </c>
      <c r="K294" s="39"/>
    </row>
    <row r="295" spans="1:22" ht="14.25" x14ac:dyDescent="0.2">
      <c r="A295" s="34"/>
      <c r="B295" s="35"/>
      <c r="C295" s="35" t="s">
        <v>677</v>
      </c>
      <c r="D295" s="36"/>
      <c r="E295" s="28"/>
      <c r="F295" s="38">
        <f>Source!AN83</f>
        <v>73.67</v>
      </c>
      <c r="G295" s="37" t="str">
        <f>Source!DF83</f>
        <v>)*1,25</v>
      </c>
      <c r="H295" s="28">
        <f>Source!AV83</f>
        <v>1.0469999999999999</v>
      </c>
      <c r="I295" s="28">
        <f>IF(Source!BS83&lt;&gt; 0, Source!BS83, 1)</f>
        <v>20.399999999999999</v>
      </c>
      <c r="J295" s="41">
        <f>Source!R83</f>
        <v>531.05999999999995</v>
      </c>
      <c r="K295" s="39"/>
    </row>
    <row r="296" spans="1:22" ht="14.25" x14ac:dyDescent="0.2">
      <c r="A296" s="34"/>
      <c r="B296" s="35"/>
      <c r="C296" s="35" t="s">
        <v>678</v>
      </c>
      <c r="D296" s="36"/>
      <c r="E296" s="28"/>
      <c r="F296" s="38">
        <f>Source!AL83</f>
        <v>2042.07</v>
      </c>
      <c r="G296" s="37" t="str">
        <f>Source!DD83</f>
        <v/>
      </c>
      <c r="H296" s="28">
        <f>Source!AW83</f>
        <v>1</v>
      </c>
      <c r="I296" s="28">
        <f>IF(Source!BC83&lt;&gt; 0, Source!BC83, 1)</f>
        <v>6.45</v>
      </c>
      <c r="J296" s="39">
        <f>Source!P83</f>
        <v>3556.26</v>
      </c>
      <c r="K296" s="39"/>
    </row>
    <row r="297" spans="1:22" ht="28.5" x14ac:dyDescent="0.2">
      <c r="A297" s="34" t="str">
        <f>Source!E84</f>
        <v>21,1</v>
      </c>
      <c r="B297" s="35" t="str">
        <f>Source!F84</f>
        <v>1.8-1-8</v>
      </c>
      <c r="C297" s="35" t="s">
        <v>281</v>
      </c>
      <c r="D297" s="36" t="str">
        <f>Source!H84</f>
        <v>КОМПЛЕКТ</v>
      </c>
      <c r="E297" s="28">
        <f>Source!I84</f>
        <v>15</v>
      </c>
      <c r="F297" s="38">
        <f>Source!AK84</f>
        <v>72.27</v>
      </c>
      <c r="G297" s="42" t="s">
        <v>3</v>
      </c>
      <c r="H297" s="28">
        <f>Source!AW84</f>
        <v>1</v>
      </c>
      <c r="I297" s="28">
        <f>IF(Source!BC84&lt;&gt; 0, Source!BC84, 1)</f>
        <v>4.42</v>
      </c>
      <c r="J297" s="39">
        <f>Source!O84</f>
        <v>4791.5</v>
      </c>
      <c r="K297" s="39"/>
      <c r="Q297">
        <f>ROUND((Source!DN84/100)*ROUND((Source!AF84*Source!AV84)*Source!I84, 2), 2)</f>
        <v>0</v>
      </c>
      <c r="R297">
        <f>Source!X84</f>
        <v>0</v>
      </c>
      <c r="S297">
        <f>ROUND((Source!DO84/100)*ROUND((Source!AF84*Source!AV84)*Source!I84, 2), 2)</f>
        <v>0</v>
      </c>
      <c r="T297">
        <f>Source!Y84</f>
        <v>0</v>
      </c>
      <c r="U297">
        <f>ROUND((175/100)*ROUND((Source!AE84*Source!AV84)*Source!I84, 2), 2)</f>
        <v>0</v>
      </c>
      <c r="V297">
        <f>ROUND((157/100)*ROUND(Source!CS84*Source!I84, 2), 2)</f>
        <v>0</v>
      </c>
    </row>
    <row r="298" spans="1:22" ht="156.75" x14ac:dyDescent="0.2">
      <c r="A298" s="34" t="str">
        <f>Source!E85</f>
        <v>21,2</v>
      </c>
      <c r="B298" s="35" t="str">
        <f>Source!F85</f>
        <v>1.9-7-347</v>
      </c>
      <c r="C298" s="35" t="s">
        <v>649</v>
      </c>
      <c r="D298" s="36" t="str">
        <f>Source!H85</f>
        <v>м2</v>
      </c>
      <c r="E298" s="28">
        <f>Source!I85</f>
        <v>27</v>
      </c>
      <c r="F298" s="38">
        <f>Source!AK85</f>
        <v>269.76</v>
      </c>
      <c r="G298" s="42" t="s">
        <v>3</v>
      </c>
      <c r="H298" s="28">
        <f>Source!AW85</f>
        <v>1</v>
      </c>
      <c r="I298" s="28">
        <f>IF(Source!BC85&lt;&gt; 0, Source!BC85, 1)</f>
        <v>4.68</v>
      </c>
      <c r="J298" s="39">
        <f>Source!O85</f>
        <v>34086.870000000003</v>
      </c>
      <c r="K298" s="39"/>
      <c r="Q298">
        <f>ROUND((Source!DN85/100)*ROUND((Source!AF85*Source!AV85)*Source!I85, 2), 2)</f>
        <v>0</v>
      </c>
      <c r="R298">
        <f>Source!X85</f>
        <v>0</v>
      </c>
      <c r="S298">
        <f>ROUND((Source!DO85/100)*ROUND((Source!AF85*Source!AV85)*Source!I85, 2), 2)</f>
        <v>0</v>
      </c>
      <c r="T298">
        <f>Source!Y85</f>
        <v>0</v>
      </c>
      <c r="U298">
        <f>ROUND((175/100)*ROUND((Source!AE85*Source!AV85)*Source!I85, 2), 2)</f>
        <v>0</v>
      </c>
      <c r="V298">
        <f>ROUND((157/100)*ROUND(Source!CS85*Source!I85, 2), 2)</f>
        <v>0</v>
      </c>
    </row>
    <row r="299" spans="1:22" ht="14.25" x14ac:dyDescent="0.2">
      <c r="A299" s="34"/>
      <c r="B299" s="35"/>
      <c r="C299" s="35" t="s">
        <v>679</v>
      </c>
      <c r="D299" s="36" t="s">
        <v>680</v>
      </c>
      <c r="E299" s="28">
        <f>Source!BZ83</f>
        <v>85</v>
      </c>
      <c r="F299" s="38"/>
      <c r="G299" s="37"/>
      <c r="H299" s="28"/>
      <c r="I299" s="28"/>
      <c r="J299" s="39">
        <f>SUM(R291:R298)</f>
        <v>6096.55</v>
      </c>
      <c r="K299" s="39"/>
    </row>
    <row r="300" spans="1:22" ht="14.25" x14ac:dyDescent="0.2">
      <c r="A300" s="34"/>
      <c r="B300" s="35"/>
      <c r="C300" s="35" t="s">
        <v>681</v>
      </c>
      <c r="D300" s="36" t="s">
        <v>680</v>
      </c>
      <c r="E300" s="28">
        <f>Source!CA83</f>
        <v>41</v>
      </c>
      <c r="F300" s="38"/>
      <c r="G300" s="37"/>
      <c r="H300" s="28"/>
      <c r="I300" s="28"/>
      <c r="J300" s="39">
        <f>SUM(T291:T299)</f>
        <v>2940.69</v>
      </c>
      <c r="K300" s="39"/>
    </row>
    <row r="301" spans="1:22" ht="14.25" x14ac:dyDescent="0.2">
      <c r="A301" s="34"/>
      <c r="B301" s="35"/>
      <c r="C301" s="35" t="s">
        <v>682</v>
      </c>
      <c r="D301" s="36" t="s">
        <v>680</v>
      </c>
      <c r="E301" s="28">
        <f>157</f>
        <v>157</v>
      </c>
      <c r="F301" s="38"/>
      <c r="G301" s="37"/>
      <c r="H301" s="28"/>
      <c r="I301" s="28"/>
      <c r="J301" s="39">
        <f>SUM(V291:V300)</f>
        <v>833.76</v>
      </c>
      <c r="K301" s="39"/>
    </row>
    <row r="302" spans="1:22" ht="14.25" x14ac:dyDescent="0.2">
      <c r="A302" s="46"/>
      <c r="B302" s="47"/>
      <c r="C302" s="47" t="s">
        <v>683</v>
      </c>
      <c r="D302" s="48" t="s">
        <v>684</v>
      </c>
      <c r="E302" s="49">
        <f>Source!AQ83</f>
        <v>89.9</v>
      </c>
      <c r="F302" s="50"/>
      <c r="G302" s="51" t="str">
        <f>Source!DI83</f>
        <v>)*1,15</v>
      </c>
      <c r="H302" s="49">
        <f>Source!AV83</f>
        <v>1.0469999999999999</v>
      </c>
      <c r="I302" s="49"/>
      <c r="J302" s="52"/>
      <c r="K302" s="52">
        <f>Source!U83</f>
        <v>29.225905650000001</v>
      </c>
    </row>
    <row r="303" spans="1:22" ht="15" x14ac:dyDescent="0.25">
      <c r="A303" s="53"/>
      <c r="B303" s="53"/>
      <c r="C303" s="54" t="s">
        <v>685</v>
      </c>
      <c r="D303" s="53"/>
      <c r="E303" s="53"/>
      <c r="F303" s="53"/>
      <c r="G303" s="53"/>
      <c r="H303" s="53"/>
      <c r="I303" s="55">
        <f>J293+J294+J296+J299+J300+J301+SUM(J297:J298)</f>
        <v>60442.44</v>
      </c>
      <c r="J303" s="55"/>
      <c r="K303" s="56">
        <f>IF(Source!I83&lt;&gt;0, ROUND(I303/Source!I83, 2), 0)</f>
        <v>223860.89</v>
      </c>
      <c r="P303" s="43">
        <f>J293+J294+J296+J299+J300+J301+SUM(J297:J298)</f>
        <v>60442.44</v>
      </c>
    </row>
    <row r="305" spans="1:22" ht="28.5" x14ac:dyDescent="0.2">
      <c r="A305" s="34" t="str">
        <f>Source!E86</f>
        <v>22</v>
      </c>
      <c r="B305" s="35" t="str">
        <f>Source!F86</f>
        <v>3.10-34-1</v>
      </c>
      <c r="C305" s="35" t="s">
        <v>288</v>
      </c>
      <c r="D305" s="36" t="str">
        <f>Source!H86</f>
        <v>100 м коробок</v>
      </c>
      <c r="E305" s="28">
        <f>Source!I86</f>
        <v>0.86699999999999999</v>
      </c>
      <c r="F305" s="38"/>
      <c r="G305" s="37"/>
      <c r="H305" s="28"/>
      <c r="I305" s="28"/>
      <c r="J305" s="39"/>
      <c r="K305" s="39"/>
      <c r="Q305">
        <f>ROUND((Source!DN86/100)*ROUND((Source!AF86*Source!AV86)*Source!I86, 2), 2)</f>
        <v>91.71</v>
      </c>
      <c r="R305">
        <f>Source!X86</f>
        <v>1514.55</v>
      </c>
      <c r="S305">
        <f>ROUND((Source!DO86/100)*ROUND((Source!AF86*Source!AV86)*Source!I86, 2), 2)</f>
        <v>61.14</v>
      </c>
      <c r="T305">
        <f>Source!Y86</f>
        <v>730.55</v>
      </c>
      <c r="U305">
        <f>ROUND((175/100)*ROUND((Source!AE86*Source!AV86)*Source!I86, 2), 2)</f>
        <v>1.75</v>
      </c>
      <c r="V305">
        <f>ROUND((157/100)*ROUND(Source!CS86*Source!I86, 2), 2)</f>
        <v>31.98</v>
      </c>
    </row>
    <row r="306" spans="1:22" x14ac:dyDescent="0.2">
      <c r="C306" s="40" t="str">
        <f>"Объем: "&amp;Source!I86&amp;"=(2,1*"&amp;"2+"&amp;"0,9)*"&amp;"17/"&amp;"100"</f>
        <v>Объем: 0,867=(2,1*2+0,9)*17/100</v>
      </c>
    </row>
    <row r="307" spans="1:22" ht="14.25" x14ac:dyDescent="0.2">
      <c r="A307" s="34"/>
      <c r="B307" s="35"/>
      <c r="C307" s="35" t="s">
        <v>675</v>
      </c>
      <c r="D307" s="36"/>
      <c r="E307" s="28"/>
      <c r="F307" s="38">
        <f>Source!AO86</f>
        <v>83.67</v>
      </c>
      <c r="G307" s="37" t="str">
        <f>Source!DG86</f>
        <v>)*1,15</v>
      </c>
      <c r="H307" s="28">
        <f>Source!AV86</f>
        <v>1.0469999999999999</v>
      </c>
      <c r="I307" s="28">
        <f>IF(Source!BA86&lt;&gt; 0, Source!BA86, 1)</f>
        <v>20.399999999999999</v>
      </c>
      <c r="J307" s="39">
        <f>Source!S86</f>
        <v>1781.82</v>
      </c>
      <c r="K307" s="39"/>
    </row>
    <row r="308" spans="1:22" ht="14.25" x14ac:dyDescent="0.2">
      <c r="A308" s="34"/>
      <c r="B308" s="35"/>
      <c r="C308" s="35" t="s">
        <v>676</v>
      </c>
      <c r="D308" s="36"/>
      <c r="E308" s="28"/>
      <c r="F308" s="38">
        <f>Source!AM86</f>
        <v>3.72</v>
      </c>
      <c r="G308" s="37" t="str">
        <f>Source!DE86</f>
        <v>)*1,25</v>
      </c>
      <c r="H308" s="28">
        <f>Source!AV86</f>
        <v>1.0469999999999999</v>
      </c>
      <c r="I308" s="28">
        <f>IF(Source!BB86&lt;&gt; 0, Source!BB86, 1)</f>
        <v>8.9499999999999993</v>
      </c>
      <c r="J308" s="39">
        <f>Source!Q86</f>
        <v>37.78</v>
      </c>
      <c r="K308" s="39"/>
    </row>
    <row r="309" spans="1:22" ht="14.25" x14ac:dyDescent="0.2">
      <c r="A309" s="34"/>
      <c r="B309" s="35"/>
      <c r="C309" s="35" t="s">
        <v>677</v>
      </c>
      <c r="D309" s="36"/>
      <c r="E309" s="28"/>
      <c r="F309" s="38">
        <f>Source!AN86</f>
        <v>0.88</v>
      </c>
      <c r="G309" s="37" t="str">
        <f>Source!DF86</f>
        <v>)*1,25</v>
      </c>
      <c r="H309" s="28">
        <f>Source!AV86</f>
        <v>1.0469999999999999</v>
      </c>
      <c r="I309" s="28">
        <f>IF(Source!BS86&lt;&gt; 0, Source!BS86, 1)</f>
        <v>20.399999999999999</v>
      </c>
      <c r="J309" s="41">
        <f>Source!R86</f>
        <v>20.37</v>
      </c>
      <c r="K309" s="39"/>
    </row>
    <row r="310" spans="1:22" ht="14.25" x14ac:dyDescent="0.2">
      <c r="A310" s="34"/>
      <c r="B310" s="35"/>
      <c r="C310" s="35" t="s">
        <v>678</v>
      </c>
      <c r="D310" s="36"/>
      <c r="E310" s="28"/>
      <c r="F310" s="38">
        <f>Source!AL86</f>
        <v>1.75</v>
      </c>
      <c r="G310" s="37" t="str">
        <f>Source!DD86</f>
        <v/>
      </c>
      <c r="H310" s="28">
        <f>Source!AW86</f>
        <v>1</v>
      </c>
      <c r="I310" s="28">
        <f>IF(Source!BC86&lt;&gt; 0, Source!BC86, 1)</f>
        <v>5.23</v>
      </c>
      <c r="J310" s="39">
        <f>Source!P86</f>
        <v>7.94</v>
      </c>
      <c r="K310" s="39"/>
    </row>
    <row r="311" spans="1:22" ht="28.5" x14ac:dyDescent="0.2">
      <c r="A311" s="34" t="str">
        <f>Source!E87</f>
        <v>22,1</v>
      </c>
      <c r="B311" s="35" t="str">
        <f>Source!F87</f>
        <v>1.9-12-37</v>
      </c>
      <c r="C311" s="35" t="s">
        <v>293</v>
      </c>
      <c r="D311" s="36" t="str">
        <f>Source!H87</f>
        <v>м</v>
      </c>
      <c r="E311" s="28">
        <f>Source!I87</f>
        <v>97.103999999999999</v>
      </c>
      <c r="F311" s="38">
        <f>Source!AK87</f>
        <v>4.0199999999999996</v>
      </c>
      <c r="G311" s="42" t="s">
        <v>3</v>
      </c>
      <c r="H311" s="28">
        <f>Source!AW87</f>
        <v>1</v>
      </c>
      <c r="I311" s="28">
        <f>IF(Source!BC87&lt;&gt; 0, Source!BC87, 1)</f>
        <v>6.17</v>
      </c>
      <c r="J311" s="39">
        <f>Source!O87</f>
        <v>2408.5100000000002</v>
      </c>
      <c r="K311" s="39"/>
      <c r="Q311">
        <f>ROUND((Source!DN87/100)*ROUND((Source!AF87*Source!AV87)*Source!I87, 2), 2)</f>
        <v>0</v>
      </c>
      <c r="R311">
        <f>Source!X87</f>
        <v>0</v>
      </c>
      <c r="S311">
        <f>ROUND((Source!DO87/100)*ROUND((Source!AF87*Source!AV87)*Source!I87, 2), 2)</f>
        <v>0</v>
      </c>
      <c r="T311">
        <f>Source!Y87</f>
        <v>0</v>
      </c>
      <c r="U311">
        <f>ROUND((175/100)*ROUND((Source!AE87*Source!AV87)*Source!I87, 2), 2)</f>
        <v>0</v>
      </c>
      <c r="V311">
        <f>ROUND((157/100)*ROUND(Source!CS87*Source!I87, 2), 2)</f>
        <v>0</v>
      </c>
    </row>
    <row r="312" spans="1:22" ht="14.25" x14ac:dyDescent="0.2">
      <c r="A312" s="34"/>
      <c r="B312" s="35"/>
      <c r="C312" s="35" t="s">
        <v>679</v>
      </c>
      <c r="D312" s="36" t="s">
        <v>680</v>
      </c>
      <c r="E312" s="28">
        <f>Source!BZ86</f>
        <v>85</v>
      </c>
      <c r="F312" s="38"/>
      <c r="G312" s="37"/>
      <c r="H312" s="28"/>
      <c r="I312" s="28"/>
      <c r="J312" s="39">
        <f>SUM(R305:R311)</f>
        <v>1514.55</v>
      </c>
      <c r="K312" s="39"/>
    </row>
    <row r="313" spans="1:22" ht="14.25" x14ac:dyDescent="0.2">
      <c r="A313" s="34"/>
      <c r="B313" s="35"/>
      <c r="C313" s="35" t="s">
        <v>681</v>
      </c>
      <c r="D313" s="36" t="s">
        <v>680</v>
      </c>
      <c r="E313" s="28">
        <f>Source!CA86</f>
        <v>41</v>
      </c>
      <c r="F313" s="38"/>
      <c r="G313" s="37"/>
      <c r="H313" s="28"/>
      <c r="I313" s="28"/>
      <c r="J313" s="39">
        <f>SUM(T305:T312)</f>
        <v>730.55</v>
      </c>
      <c r="K313" s="39"/>
    </row>
    <row r="314" spans="1:22" ht="14.25" x14ac:dyDescent="0.2">
      <c r="A314" s="34"/>
      <c r="B314" s="35"/>
      <c r="C314" s="35" t="s">
        <v>682</v>
      </c>
      <c r="D314" s="36" t="s">
        <v>680</v>
      </c>
      <c r="E314" s="28">
        <f>157</f>
        <v>157</v>
      </c>
      <c r="F314" s="38"/>
      <c r="G314" s="37"/>
      <c r="H314" s="28"/>
      <c r="I314" s="28"/>
      <c r="J314" s="39">
        <f>SUM(V305:V313)</f>
        <v>31.98</v>
      </c>
      <c r="K314" s="39"/>
    </row>
    <row r="315" spans="1:22" ht="14.25" x14ac:dyDescent="0.2">
      <c r="A315" s="46"/>
      <c r="B315" s="47"/>
      <c r="C315" s="47" t="s">
        <v>683</v>
      </c>
      <c r="D315" s="48" t="s">
        <v>684</v>
      </c>
      <c r="E315" s="49">
        <f>Source!AQ86</f>
        <v>7.82</v>
      </c>
      <c r="F315" s="50"/>
      <c r="G315" s="51" t="str">
        <f>Source!DI86</f>
        <v>)*1,15</v>
      </c>
      <c r="H315" s="49">
        <f>Source!AV86</f>
        <v>1.0469999999999999</v>
      </c>
      <c r="I315" s="49"/>
      <c r="J315" s="52"/>
      <c r="K315" s="52">
        <f>Source!U86</f>
        <v>8.1633867569999996</v>
      </c>
    </row>
    <row r="316" spans="1:22" ht="15" x14ac:dyDescent="0.25">
      <c r="A316" s="53"/>
      <c r="B316" s="53"/>
      <c r="C316" s="54" t="s">
        <v>685</v>
      </c>
      <c r="D316" s="53"/>
      <c r="E316" s="53"/>
      <c r="F316" s="53"/>
      <c r="G316" s="53"/>
      <c r="H316" s="53"/>
      <c r="I316" s="55">
        <f>J307+J308+J310+J312+J313+J314+SUM(J311:J311)</f>
        <v>6513.13</v>
      </c>
      <c r="J316" s="55"/>
      <c r="K316" s="56">
        <f>IF(Source!I86&lt;&gt;0, ROUND(I316/Source!I86, 2), 0)</f>
        <v>7512.26</v>
      </c>
      <c r="P316" s="43">
        <f>J307+J308+J310+J312+J313+J314+SUM(J311:J311)</f>
        <v>6513.13</v>
      </c>
    </row>
    <row r="318" spans="1:22" ht="28.5" x14ac:dyDescent="0.2">
      <c r="A318" s="34" t="str">
        <f>Source!E88</f>
        <v>23</v>
      </c>
      <c r="B318" s="35" t="str">
        <f>Source!F88</f>
        <v>3.10-82-1</v>
      </c>
      <c r="C318" s="35" t="s">
        <v>297</v>
      </c>
      <c r="D318" s="36" t="str">
        <f>Source!H88</f>
        <v>1  ШТ.</v>
      </c>
      <c r="E318" s="28">
        <f>Source!I88</f>
        <v>2</v>
      </c>
      <c r="F318" s="38"/>
      <c r="G318" s="37"/>
      <c r="H318" s="28"/>
      <c r="I318" s="28"/>
      <c r="J318" s="39"/>
      <c r="K318" s="39"/>
      <c r="Q318">
        <f>ROUND((Source!DN88/100)*ROUND((Source!AF88*Source!AV88)*Source!I88, 2), 2)</f>
        <v>32.61</v>
      </c>
      <c r="R318">
        <f>Source!X88</f>
        <v>533.62</v>
      </c>
      <c r="S318">
        <f>ROUND((Source!DO88/100)*ROUND((Source!AF88*Source!AV88)*Source!I88, 2), 2)</f>
        <v>25.08</v>
      </c>
      <c r="T318">
        <f>Source!Y88</f>
        <v>299.7</v>
      </c>
      <c r="U318">
        <f>ROUND((175/100)*ROUND((Source!AE88*Source!AV88)*Source!I88, 2), 2)</f>
        <v>0.42</v>
      </c>
      <c r="V318">
        <f>ROUND((157/100)*ROUND(Source!CS88*Source!I88, 2), 2)</f>
        <v>7.55</v>
      </c>
    </row>
    <row r="319" spans="1:22" ht="14.25" x14ac:dyDescent="0.2">
      <c r="A319" s="34"/>
      <c r="B319" s="35"/>
      <c r="C319" s="35" t="s">
        <v>675</v>
      </c>
      <c r="D319" s="36"/>
      <c r="E319" s="28"/>
      <c r="F319" s="38">
        <f>Source!AO88</f>
        <v>14.88</v>
      </c>
      <c r="G319" s="37" t="str">
        <f>Source!DG88</f>
        <v>)*1,15</v>
      </c>
      <c r="H319" s="28">
        <f>Source!AV88</f>
        <v>1.0469999999999999</v>
      </c>
      <c r="I319" s="28">
        <f>IF(Source!BA88&lt;&gt; 0, Source!BA88, 1)</f>
        <v>20.399999999999999</v>
      </c>
      <c r="J319" s="39">
        <f>Source!S88</f>
        <v>730.98</v>
      </c>
      <c r="K319" s="39"/>
    </row>
    <row r="320" spans="1:22" ht="14.25" x14ac:dyDescent="0.2">
      <c r="A320" s="34"/>
      <c r="B320" s="35"/>
      <c r="C320" s="35" t="s">
        <v>676</v>
      </c>
      <c r="D320" s="36"/>
      <c r="E320" s="28"/>
      <c r="F320" s="38">
        <f>Source!AM88</f>
        <v>1.99</v>
      </c>
      <c r="G320" s="37" t="str">
        <f>Source!DE88</f>
        <v>)*1,25</v>
      </c>
      <c r="H320" s="28">
        <f>Source!AV88</f>
        <v>1.0469999999999999</v>
      </c>
      <c r="I320" s="28">
        <f>IF(Source!BB88&lt;&gt; 0, Source!BB88, 1)</f>
        <v>6.54</v>
      </c>
      <c r="J320" s="39">
        <f>Source!Q88</f>
        <v>34.07</v>
      </c>
      <c r="K320" s="39"/>
    </row>
    <row r="321" spans="1:22" ht="14.25" x14ac:dyDescent="0.2">
      <c r="A321" s="34"/>
      <c r="B321" s="35"/>
      <c r="C321" s="35" t="s">
        <v>677</v>
      </c>
      <c r="D321" s="36"/>
      <c r="E321" s="28"/>
      <c r="F321" s="38">
        <f>Source!AN88</f>
        <v>0.09</v>
      </c>
      <c r="G321" s="37" t="str">
        <f>Source!DF88</f>
        <v>)*1,25</v>
      </c>
      <c r="H321" s="28">
        <f>Source!AV88</f>
        <v>1.0469999999999999</v>
      </c>
      <c r="I321" s="28">
        <f>IF(Source!BS88&lt;&gt; 0, Source!BS88, 1)</f>
        <v>20.399999999999999</v>
      </c>
      <c r="J321" s="41">
        <f>Source!R88</f>
        <v>4.8099999999999996</v>
      </c>
      <c r="K321" s="39"/>
    </row>
    <row r="322" spans="1:22" ht="14.25" x14ac:dyDescent="0.2">
      <c r="A322" s="34"/>
      <c r="B322" s="35"/>
      <c r="C322" s="35" t="s">
        <v>678</v>
      </c>
      <c r="D322" s="36"/>
      <c r="E322" s="28"/>
      <c r="F322" s="38">
        <f>Source!AL88</f>
        <v>0.41</v>
      </c>
      <c r="G322" s="37" t="str">
        <f>Source!DD88</f>
        <v/>
      </c>
      <c r="H322" s="28">
        <f>Source!AW88</f>
        <v>1.002</v>
      </c>
      <c r="I322" s="28">
        <f>IF(Source!BC88&lt;&gt; 0, Source!BC88, 1)</f>
        <v>4.54</v>
      </c>
      <c r="J322" s="39">
        <f>Source!P88</f>
        <v>3.73</v>
      </c>
      <c r="K322" s="39"/>
    </row>
    <row r="323" spans="1:22" ht="28.5" x14ac:dyDescent="0.2">
      <c r="A323" s="34" t="str">
        <f>Source!E89</f>
        <v>23,1</v>
      </c>
      <c r="B323" s="35" t="str">
        <f>Source!F89</f>
        <v>1.8-1-83</v>
      </c>
      <c r="C323" s="35" t="s">
        <v>304</v>
      </c>
      <c r="D323" s="36" t="str">
        <f>Source!H89</f>
        <v>КОМПЛЕКТ</v>
      </c>
      <c r="E323" s="28">
        <f>Source!I89</f>
        <v>2</v>
      </c>
      <c r="F323" s="38">
        <f>Source!AK89</f>
        <v>1390.95</v>
      </c>
      <c r="G323" s="42" t="s">
        <v>3</v>
      </c>
      <c r="H323" s="28">
        <f>Source!AW89</f>
        <v>1.002</v>
      </c>
      <c r="I323" s="28">
        <f>IF(Source!BC89&lt;&gt; 0, Source!BC89, 1)</f>
        <v>3.98</v>
      </c>
      <c r="J323" s="39">
        <f>Source!O89</f>
        <v>11094.11</v>
      </c>
      <c r="K323" s="39"/>
      <c r="Q323">
        <f>ROUND((Source!DN89/100)*ROUND((Source!AF89*Source!AV89)*Source!I89, 2), 2)</f>
        <v>0</v>
      </c>
      <c r="R323">
        <f>Source!X89</f>
        <v>0</v>
      </c>
      <c r="S323">
        <f>ROUND((Source!DO89/100)*ROUND((Source!AF89*Source!AV89)*Source!I89, 2), 2)</f>
        <v>0</v>
      </c>
      <c r="T323">
        <f>Source!Y89</f>
        <v>0</v>
      </c>
      <c r="U323">
        <f>ROUND((175/100)*ROUND((Source!AE89*Source!AV89)*Source!I89, 2), 2)</f>
        <v>0</v>
      </c>
      <c r="V323">
        <f>ROUND((157/100)*ROUND(Source!CS89*Source!I89, 2), 2)</f>
        <v>0</v>
      </c>
    </row>
    <row r="324" spans="1:22" ht="14.25" x14ac:dyDescent="0.2">
      <c r="A324" s="34"/>
      <c r="B324" s="35"/>
      <c r="C324" s="35" t="s">
        <v>679</v>
      </c>
      <c r="D324" s="36" t="s">
        <v>680</v>
      </c>
      <c r="E324" s="28">
        <f>Source!BZ88</f>
        <v>73</v>
      </c>
      <c r="F324" s="38"/>
      <c r="G324" s="37"/>
      <c r="H324" s="28"/>
      <c r="I324" s="28"/>
      <c r="J324" s="39">
        <f>SUM(R318:R323)</f>
        <v>533.62</v>
      </c>
      <c r="K324" s="39"/>
    </row>
    <row r="325" spans="1:22" ht="14.25" x14ac:dyDescent="0.2">
      <c r="A325" s="34"/>
      <c r="B325" s="35"/>
      <c r="C325" s="35" t="s">
        <v>681</v>
      </c>
      <c r="D325" s="36" t="s">
        <v>680</v>
      </c>
      <c r="E325" s="28">
        <f>Source!CA88</f>
        <v>41</v>
      </c>
      <c r="F325" s="38"/>
      <c r="G325" s="37"/>
      <c r="H325" s="28"/>
      <c r="I325" s="28"/>
      <c r="J325" s="39">
        <f>SUM(T318:T324)</f>
        <v>299.7</v>
      </c>
      <c r="K325" s="39"/>
    </row>
    <row r="326" spans="1:22" ht="14.25" x14ac:dyDescent="0.2">
      <c r="A326" s="34"/>
      <c r="B326" s="35"/>
      <c r="C326" s="35" t="s">
        <v>682</v>
      </c>
      <c r="D326" s="36" t="s">
        <v>680</v>
      </c>
      <c r="E326" s="28">
        <f>157</f>
        <v>157</v>
      </c>
      <c r="F326" s="38"/>
      <c r="G326" s="37"/>
      <c r="H326" s="28"/>
      <c r="I326" s="28"/>
      <c r="J326" s="39">
        <f>SUM(V318:V325)</f>
        <v>7.55</v>
      </c>
      <c r="K326" s="39"/>
    </row>
    <row r="327" spans="1:22" ht="14.25" x14ac:dyDescent="0.2">
      <c r="A327" s="46"/>
      <c r="B327" s="47"/>
      <c r="C327" s="47" t="s">
        <v>683</v>
      </c>
      <c r="D327" s="48" t="s">
        <v>684</v>
      </c>
      <c r="E327" s="49">
        <f>Source!AQ88</f>
        <v>1.1100000000000001</v>
      </c>
      <c r="F327" s="50"/>
      <c r="G327" s="51" t="str">
        <f>Source!DI88</f>
        <v>)*1,15</v>
      </c>
      <c r="H327" s="49">
        <f>Source!AV88</f>
        <v>1.0469999999999999</v>
      </c>
      <c r="I327" s="49"/>
      <c r="J327" s="52"/>
      <c r="K327" s="52">
        <f>Source!U88</f>
        <v>2.6729909999999997</v>
      </c>
    </row>
    <row r="328" spans="1:22" ht="15" x14ac:dyDescent="0.25">
      <c r="A328" s="53"/>
      <c r="B328" s="53"/>
      <c r="C328" s="54" t="s">
        <v>685</v>
      </c>
      <c r="D328" s="53"/>
      <c r="E328" s="53"/>
      <c r="F328" s="53"/>
      <c r="G328" s="53"/>
      <c r="H328" s="53"/>
      <c r="I328" s="55">
        <f>J319+J320+J322+J324+J325+J326+SUM(J323:J323)</f>
        <v>12703.76</v>
      </c>
      <c r="J328" s="55"/>
      <c r="K328" s="56">
        <f>IF(Source!I88&lt;&gt;0, ROUND(I328/Source!I88, 2), 0)</f>
        <v>6351.88</v>
      </c>
      <c r="P328" s="43">
        <f>J319+J320+J322+J324+J325+J326+SUM(J323:J323)</f>
        <v>12703.76</v>
      </c>
    </row>
    <row r="330" spans="1:22" ht="28.5" x14ac:dyDescent="0.2">
      <c r="A330" s="34" t="str">
        <f>Source!E90</f>
        <v>24</v>
      </c>
      <c r="B330" s="35" t="str">
        <f>Source!F90</f>
        <v>3.10-79-1</v>
      </c>
      <c r="C330" s="35" t="s">
        <v>308</v>
      </c>
      <c r="D330" s="36" t="str">
        <f>Source!H90</f>
        <v>10 компл.</v>
      </c>
      <c r="E330" s="28">
        <f>Source!I90</f>
        <v>1.7</v>
      </c>
      <c r="F330" s="38"/>
      <c r="G330" s="37"/>
      <c r="H330" s="28"/>
      <c r="I330" s="28"/>
      <c r="J330" s="39"/>
      <c r="K330" s="39"/>
      <c r="Q330">
        <f>ROUND((Source!DN90/100)*ROUND((Source!AF90*Source!AV90)*Source!I90, 2), 2)</f>
        <v>123.61</v>
      </c>
      <c r="R330">
        <f>Source!X90</f>
        <v>2041.2</v>
      </c>
      <c r="S330">
        <f>ROUND((Source!DO90/100)*ROUND((Source!AF90*Source!AV90)*Source!I90, 2), 2)</f>
        <v>82.4</v>
      </c>
      <c r="T330">
        <f>Source!Y90</f>
        <v>984.58</v>
      </c>
      <c r="U330">
        <f>ROUND((175/100)*ROUND((Source!AE90*Source!AV90)*Source!I90, 2), 2)</f>
        <v>0.47</v>
      </c>
      <c r="V330">
        <f>ROUND((157/100)*ROUND(Source!CS90*Source!I90, 2), 2)</f>
        <v>8.56</v>
      </c>
    </row>
    <row r="331" spans="1:22" x14ac:dyDescent="0.2">
      <c r="C331" s="40" t="str">
        <f>"Объем: "&amp;Source!I90&amp;"=17/"&amp;"10"</f>
        <v>Объем: 1,7=17/10</v>
      </c>
    </row>
    <row r="332" spans="1:22" ht="14.25" x14ac:dyDescent="0.2">
      <c r="A332" s="34"/>
      <c r="B332" s="35"/>
      <c r="C332" s="35" t="s">
        <v>675</v>
      </c>
      <c r="D332" s="36"/>
      <c r="E332" s="28"/>
      <c r="F332" s="38">
        <f>Source!AO90</f>
        <v>57.51</v>
      </c>
      <c r="G332" s="37" t="str">
        <f>Source!DG90</f>
        <v>)*1,15</v>
      </c>
      <c r="H332" s="28">
        <f>Source!AV90</f>
        <v>1.0469999999999999</v>
      </c>
      <c r="I332" s="28">
        <f>IF(Source!BA90&lt;&gt; 0, Source!BA90, 1)</f>
        <v>20.399999999999999</v>
      </c>
      <c r="J332" s="39">
        <f>Source!S90</f>
        <v>2401.41</v>
      </c>
      <c r="K332" s="39"/>
    </row>
    <row r="333" spans="1:22" ht="14.25" x14ac:dyDescent="0.2">
      <c r="A333" s="34"/>
      <c r="B333" s="35"/>
      <c r="C333" s="35" t="s">
        <v>676</v>
      </c>
      <c r="D333" s="36"/>
      <c r="E333" s="28"/>
      <c r="F333" s="38">
        <f>Source!AM90</f>
        <v>0.42</v>
      </c>
      <c r="G333" s="37" t="str">
        <f>Source!DE90</f>
        <v>)*1,25</v>
      </c>
      <c r="H333" s="28">
        <f>Source!AV90</f>
        <v>1.0469999999999999</v>
      </c>
      <c r="I333" s="28">
        <f>IF(Source!BB90&lt;&gt; 0, Source!BB90, 1)</f>
        <v>9.69</v>
      </c>
      <c r="J333" s="39">
        <f>Source!Q90</f>
        <v>9.0500000000000007</v>
      </c>
      <c r="K333" s="39"/>
    </row>
    <row r="334" spans="1:22" ht="14.25" x14ac:dyDescent="0.2">
      <c r="A334" s="34"/>
      <c r="B334" s="35"/>
      <c r="C334" s="35" t="s">
        <v>677</v>
      </c>
      <c r="D334" s="36"/>
      <c r="E334" s="28"/>
      <c r="F334" s="38">
        <f>Source!AN90</f>
        <v>0.12</v>
      </c>
      <c r="G334" s="37" t="str">
        <f>Source!DF90</f>
        <v>)*1,25</v>
      </c>
      <c r="H334" s="28">
        <f>Source!AV90</f>
        <v>1.0469999999999999</v>
      </c>
      <c r="I334" s="28">
        <f>IF(Source!BS90&lt;&gt; 0, Source!BS90, 1)</f>
        <v>20.399999999999999</v>
      </c>
      <c r="J334" s="41">
        <f>Source!R90</f>
        <v>5.45</v>
      </c>
      <c r="K334" s="39"/>
    </row>
    <row r="335" spans="1:22" ht="14.25" x14ac:dyDescent="0.2">
      <c r="A335" s="34"/>
      <c r="B335" s="35"/>
      <c r="C335" s="35" t="s">
        <v>678</v>
      </c>
      <c r="D335" s="36"/>
      <c r="E335" s="28"/>
      <c r="F335" s="38">
        <f>Source!AL90</f>
        <v>1.61</v>
      </c>
      <c r="G335" s="37" t="str">
        <f>Source!DD90</f>
        <v/>
      </c>
      <c r="H335" s="28">
        <f>Source!AW90</f>
        <v>1</v>
      </c>
      <c r="I335" s="28">
        <f>IF(Source!BC90&lt;&gt; 0, Source!BC90, 1)</f>
        <v>30.73</v>
      </c>
      <c r="J335" s="39">
        <f>Source!P90</f>
        <v>84.11</v>
      </c>
      <c r="K335" s="39"/>
    </row>
    <row r="336" spans="1:22" ht="28.5" x14ac:dyDescent="0.2">
      <c r="A336" s="34" t="str">
        <f>Source!E91</f>
        <v>24,1</v>
      </c>
      <c r="B336" s="35" t="str">
        <f>Source!F91</f>
        <v>1.8-1-8</v>
      </c>
      <c r="C336" s="35" t="s">
        <v>281</v>
      </c>
      <c r="D336" s="36" t="str">
        <f>Source!H91</f>
        <v>КОМПЛЕКТ</v>
      </c>
      <c r="E336" s="28">
        <f>Source!I91</f>
        <v>17</v>
      </c>
      <c r="F336" s="38">
        <f>Source!AK91</f>
        <v>72.27</v>
      </c>
      <c r="G336" s="42" t="s">
        <v>3</v>
      </c>
      <c r="H336" s="28">
        <f>Source!AW91</f>
        <v>1</v>
      </c>
      <c r="I336" s="28">
        <f>IF(Source!BC91&lt;&gt; 0, Source!BC91, 1)</f>
        <v>4.42</v>
      </c>
      <c r="J336" s="39">
        <f>Source!O91</f>
        <v>5430.37</v>
      </c>
      <c r="K336" s="39"/>
      <c r="Q336">
        <f>ROUND((Source!DN91/100)*ROUND((Source!AF91*Source!AV91)*Source!I91, 2), 2)</f>
        <v>0</v>
      </c>
      <c r="R336">
        <f>Source!X91</f>
        <v>0</v>
      </c>
      <c r="S336">
        <f>ROUND((Source!DO91/100)*ROUND((Source!AF91*Source!AV91)*Source!I91, 2), 2)</f>
        <v>0</v>
      </c>
      <c r="T336">
        <f>Source!Y91</f>
        <v>0</v>
      </c>
      <c r="U336">
        <f>ROUND((175/100)*ROUND((Source!AE91*Source!AV91)*Source!I91, 2), 2)</f>
        <v>0</v>
      </c>
      <c r="V336">
        <f>ROUND((157/100)*ROUND(Source!CS91*Source!I91, 2), 2)</f>
        <v>0</v>
      </c>
    </row>
    <row r="337" spans="1:22" ht="14.25" x14ac:dyDescent="0.2">
      <c r="A337" s="34"/>
      <c r="B337" s="35"/>
      <c r="C337" s="35" t="s">
        <v>679</v>
      </c>
      <c r="D337" s="36" t="s">
        <v>680</v>
      </c>
      <c r="E337" s="28">
        <f>Source!BZ90</f>
        <v>85</v>
      </c>
      <c r="F337" s="38"/>
      <c r="G337" s="37"/>
      <c r="H337" s="28"/>
      <c r="I337" s="28"/>
      <c r="J337" s="39">
        <f>SUM(R330:R336)</f>
        <v>2041.2</v>
      </c>
      <c r="K337" s="39"/>
    </row>
    <row r="338" spans="1:22" ht="14.25" x14ac:dyDescent="0.2">
      <c r="A338" s="34"/>
      <c r="B338" s="35"/>
      <c r="C338" s="35" t="s">
        <v>681</v>
      </c>
      <c r="D338" s="36" t="s">
        <v>680</v>
      </c>
      <c r="E338" s="28">
        <f>Source!CA90</f>
        <v>41</v>
      </c>
      <c r="F338" s="38"/>
      <c r="G338" s="37"/>
      <c r="H338" s="28"/>
      <c r="I338" s="28"/>
      <c r="J338" s="39">
        <f>SUM(T330:T337)</f>
        <v>984.58</v>
      </c>
      <c r="K338" s="39"/>
    </row>
    <row r="339" spans="1:22" ht="14.25" x14ac:dyDescent="0.2">
      <c r="A339" s="34"/>
      <c r="B339" s="35"/>
      <c r="C339" s="35" t="s">
        <v>682</v>
      </c>
      <c r="D339" s="36" t="s">
        <v>680</v>
      </c>
      <c r="E339" s="28">
        <f>157</f>
        <v>157</v>
      </c>
      <c r="F339" s="38"/>
      <c r="G339" s="37"/>
      <c r="H339" s="28"/>
      <c r="I339" s="28"/>
      <c r="J339" s="39">
        <f>SUM(V330:V338)</f>
        <v>8.56</v>
      </c>
      <c r="K339" s="39"/>
    </row>
    <row r="340" spans="1:22" ht="14.25" x14ac:dyDescent="0.2">
      <c r="A340" s="46"/>
      <c r="B340" s="47"/>
      <c r="C340" s="47" t="s">
        <v>683</v>
      </c>
      <c r="D340" s="48" t="s">
        <v>684</v>
      </c>
      <c r="E340" s="49">
        <f>Source!AQ90</f>
        <v>3.97</v>
      </c>
      <c r="F340" s="50"/>
      <c r="G340" s="51" t="str">
        <f>Source!DI90</f>
        <v>)*1,15</v>
      </c>
      <c r="H340" s="49">
        <f>Source!AV90</f>
        <v>1.0469999999999999</v>
      </c>
      <c r="I340" s="49"/>
      <c r="J340" s="52"/>
      <c r="K340" s="52">
        <f>Source!U90</f>
        <v>8.1261334499999993</v>
      </c>
    </row>
    <row r="341" spans="1:22" ht="15" x14ac:dyDescent="0.25">
      <c r="A341" s="53"/>
      <c r="B341" s="53"/>
      <c r="C341" s="54" t="s">
        <v>685</v>
      </c>
      <c r="D341" s="53"/>
      <c r="E341" s="53"/>
      <c r="F341" s="53"/>
      <c r="G341" s="53"/>
      <c r="H341" s="53"/>
      <c r="I341" s="55">
        <f>J332+J333+J335+J337+J338+J339+SUM(J336:J336)</f>
        <v>10959.28</v>
      </c>
      <c r="J341" s="55"/>
      <c r="K341" s="56">
        <f>IF(Source!I90&lt;&gt;0, ROUND(I341/Source!I90, 2), 0)</f>
        <v>6446.64</v>
      </c>
      <c r="P341" s="43">
        <f>J332+J333+J335+J337+J338+J339+SUM(J336:J336)</f>
        <v>10959.28</v>
      </c>
    </row>
    <row r="343" spans="1:22" ht="28.5" x14ac:dyDescent="0.2">
      <c r="A343" s="34" t="str">
        <f>Source!E92</f>
        <v>25</v>
      </c>
      <c r="B343" s="35" t="str">
        <f>Source!F92</f>
        <v>3.15-143-5</v>
      </c>
      <c r="C343" s="35" t="s">
        <v>316</v>
      </c>
      <c r="D343" s="36" t="str">
        <f>Source!H92</f>
        <v>100 м2 откосов</v>
      </c>
      <c r="E343" s="28">
        <f>Source!I92</f>
        <v>0.1734</v>
      </c>
      <c r="F343" s="38"/>
      <c r="G343" s="37"/>
      <c r="H343" s="28"/>
      <c r="I343" s="28"/>
      <c r="J343" s="39"/>
      <c r="K343" s="39"/>
      <c r="Q343">
        <f>ROUND((Source!DN92/100)*ROUND((Source!AF92*Source!AV92)*Source!I92, 2), 2)</f>
        <v>652.22</v>
      </c>
      <c r="R343">
        <f>Source!X92</f>
        <v>10777.3</v>
      </c>
      <c r="S343">
        <f>ROUND((Source!DO92/100)*ROUND((Source!AF92*Source!AV92)*Source!I92, 2), 2)</f>
        <v>417.42</v>
      </c>
      <c r="T343">
        <f>Source!Y92</f>
        <v>5455.18</v>
      </c>
      <c r="U343">
        <f>ROUND((175/100)*ROUND((Source!AE92*Source!AV92)*Source!I92, 2), 2)</f>
        <v>1.86</v>
      </c>
      <c r="V343">
        <f>ROUND((157/100)*ROUND(Source!CS92*Source!I92, 2), 2)</f>
        <v>33.94</v>
      </c>
    </row>
    <row r="344" spans="1:22" x14ac:dyDescent="0.2">
      <c r="C344" s="40" t="str">
        <f>"Объем: "&amp;Source!I92&amp;"="&amp;Source!I86&amp;"*"&amp;"0,2"</f>
        <v>Объем: 0,1734=0,867*0,2</v>
      </c>
    </row>
    <row r="345" spans="1:22" ht="14.25" x14ac:dyDescent="0.2">
      <c r="A345" s="34"/>
      <c r="B345" s="35"/>
      <c r="C345" s="35" t="s">
        <v>675</v>
      </c>
      <c r="D345" s="36"/>
      <c r="E345" s="28"/>
      <c r="F345" s="38">
        <f>Source!AO92</f>
        <v>3123.93</v>
      </c>
      <c r="G345" s="37" t="str">
        <f>Source!DG92</f>
        <v>)*1,15</v>
      </c>
      <c r="H345" s="28">
        <f>Source!AV92</f>
        <v>1.0469999999999999</v>
      </c>
      <c r="I345" s="28">
        <f>IF(Source!BA92&lt;&gt; 0, Source!BA92, 1)</f>
        <v>20.399999999999999</v>
      </c>
      <c r="J345" s="39">
        <f>Source!S92</f>
        <v>13305.31</v>
      </c>
      <c r="K345" s="39"/>
    </row>
    <row r="346" spans="1:22" ht="14.25" x14ac:dyDescent="0.2">
      <c r="A346" s="34"/>
      <c r="B346" s="35"/>
      <c r="C346" s="35" t="s">
        <v>676</v>
      </c>
      <c r="D346" s="36"/>
      <c r="E346" s="28"/>
      <c r="F346" s="38">
        <f>Source!AM92</f>
        <v>107.42</v>
      </c>
      <c r="G346" s="37" t="str">
        <f>Source!DE92</f>
        <v>)*1,25</v>
      </c>
      <c r="H346" s="28">
        <f>Source!AV92</f>
        <v>1.0469999999999999</v>
      </c>
      <c r="I346" s="28">
        <f>IF(Source!BB92&lt;&gt; 0, Source!BB92, 1)</f>
        <v>9.5500000000000007</v>
      </c>
      <c r="J346" s="39">
        <f>Source!Q92</f>
        <v>232.81</v>
      </c>
      <c r="K346" s="39"/>
    </row>
    <row r="347" spans="1:22" ht="14.25" x14ac:dyDescent="0.2">
      <c r="A347" s="34"/>
      <c r="B347" s="35"/>
      <c r="C347" s="35" t="s">
        <v>677</v>
      </c>
      <c r="D347" s="36"/>
      <c r="E347" s="28"/>
      <c r="F347" s="38">
        <f>Source!AN92</f>
        <v>4.67</v>
      </c>
      <c r="G347" s="37" t="str">
        <f>Source!DF92</f>
        <v>)*1,25</v>
      </c>
      <c r="H347" s="28">
        <f>Source!AV92</f>
        <v>1.0469999999999999</v>
      </c>
      <c r="I347" s="28">
        <f>IF(Source!BS92&lt;&gt; 0, Source!BS92, 1)</f>
        <v>20.399999999999999</v>
      </c>
      <c r="J347" s="41">
        <f>Source!R92</f>
        <v>21.62</v>
      </c>
      <c r="K347" s="39"/>
    </row>
    <row r="348" spans="1:22" ht="14.25" x14ac:dyDescent="0.2">
      <c r="A348" s="34"/>
      <c r="B348" s="35"/>
      <c r="C348" s="35" t="s">
        <v>678</v>
      </c>
      <c r="D348" s="36"/>
      <c r="E348" s="28"/>
      <c r="F348" s="38">
        <f>Source!AL92</f>
        <v>13710.4</v>
      </c>
      <c r="G348" s="37" t="str">
        <f>Source!DD92</f>
        <v/>
      </c>
      <c r="H348" s="28">
        <f>Source!AW92</f>
        <v>1.0029999999999999</v>
      </c>
      <c r="I348" s="28">
        <f>IF(Source!BC92&lt;&gt; 0, Source!BC92, 1)</f>
        <v>5.81</v>
      </c>
      <c r="J348" s="39">
        <f>Source!P92</f>
        <v>13854.04</v>
      </c>
      <c r="K348" s="39"/>
    </row>
    <row r="349" spans="1:22" ht="42.75" x14ac:dyDescent="0.2">
      <c r="A349" s="34" t="str">
        <f>Source!E93</f>
        <v>25,1</v>
      </c>
      <c r="B349" s="35" t="str">
        <f>Source!F93</f>
        <v>1.9-12-124</v>
      </c>
      <c r="C349" s="35" t="s">
        <v>323</v>
      </c>
      <c r="D349" s="36" t="str">
        <f>Source!H93</f>
        <v>м</v>
      </c>
      <c r="E349" s="28">
        <f>Source!I93</f>
        <v>86.7</v>
      </c>
      <c r="F349" s="38">
        <f>Source!AK93</f>
        <v>37.58</v>
      </c>
      <c r="G349" s="42" t="s">
        <v>3</v>
      </c>
      <c r="H349" s="28">
        <f>Source!AW93</f>
        <v>1.0029999999999999</v>
      </c>
      <c r="I349" s="28">
        <f>IF(Source!BC93&lt;&gt; 0, Source!BC93, 1)</f>
        <v>5.13</v>
      </c>
      <c r="J349" s="39">
        <f>Source!O93</f>
        <v>16764.64</v>
      </c>
      <c r="K349" s="39"/>
      <c r="Q349">
        <f>ROUND((Source!DN93/100)*ROUND((Source!AF93*Source!AV93)*Source!I93, 2), 2)</f>
        <v>0</v>
      </c>
      <c r="R349">
        <f>Source!X93</f>
        <v>0</v>
      </c>
      <c r="S349">
        <f>ROUND((Source!DO93/100)*ROUND((Source!AF93*Source!AV93)*Source!I93, 2), 2)</f>
        <v>0</v>
      </c>
      <c r="T349">
        <f>Source!Y93</f>
        <v>0</v>
      </c>
      <c r="U349">
        <f>ROUND((175/100)*ROUND((Source!AE93*Source!AV93)*Source!I93, 2), 2)</f>
        <v>0</v>
      </c>
      <c r="V349">
        <f>ROUND((157/100)*ROUND(Source!CS93*Source!I93, 2), 2)</f>
        <v>0</v>
      </c>
    </row>
    <row r="350" spans="1:22" ht="14.25" x14ac:dyDescent="0.2">
      <c r="A350" s="34"/>
      <c r="B350" s="35"/>
      <c r="C350" s="35" t="s">
        <v>679</v>
      </c>
      <c r="D350" s="36" t="s">
        <v>680</v>
      </c>
      <c r="E350" s="28">
        <f>Source!BZ92</f>
        <v>81</v>
      </c>
      <c r="F350" s="38"/>
      <c r="G350" s="37"/>
      <c r="H350" s="28"/>
      <c r="I350" s="28"/>
      <c r="J350" s="39">
        <f>SUM(R343:R349)</f>
        <v>10777.3</v>
      </c>
      <c r="K350" s="39"/>
    </row>
    <row r="351" spans="1:22" ht="14.25" x14ac:dyDescent="0.2">
      <c r="A351" s="34"/>
      <c r="B351" s="35"/>
      <c r="C351" s="35" t="s">
        <v>681</v>
      </c>
      <c r="D351" s="36" t="s">
        <v>680</v>
      </c>
      <c r="E351" s="28">
        <f>Source!CA92</f>
        <v>41</v>
      </c>
      <c r="F351" s="38"/>
      <c r="G351" s="37"/>
      <c r="H351" s="28"/>
      <c r="I351" s="28"/>
      <c r="J351" s="39">
        <f>SUM(T343:T350)</f>
        <v>5455.18</v>
      </c>
      <c r="K351" s="39"/>
    </row>
    <row r="352" spans="1:22" ht="14.25" x14ac:dyDescent="0.2">
      <c r="A352" s="34"/>
      <c r="B352" s="35"/>
      <c r="C352" s="35" t="s">
        <v>682</v>
      </c>
      <c r="D352" s="36" t="s">
        <v>680</v>
      </c>
      <c r="E352" s="28">
        <f>157</f>
        <v>157</v>
      </c>
      <c r="F352" s="38"/>
      <c r="G352" s="37"/>
      <c r="H352" s="28"/>
      <c r="I352" s="28"/>
      <c r="J352" s="39">
        <f>SUM(V343:V351)</f>
        <v>33.94</v>
      </c>
      <c r="K352" s="39"/>
    </row>
    <row r="353" spans="1:16" ht="14.25" x14ac:dyDescent="0.2">
      <c r="A353" s="46"/>
      <c r="B353" s="47"/>
      <c r="C353" s="47" t="s">
        <v>683</v>
      </c>
      <c r="D353" s="48" t="s">
        <v>684</v>
      </c>
      <c r="E353" s="49">
        <f>Source!AQ92</f>
        <v>257.04000000000002</v>
      </c>
      <c r="F353" s="50"/>
      <c r="G353" s="51" t="str">
        <f>Source!DI92</f>
        <v>)*1,15</v>
      </c>
      <c r="H353" s="49">
        <f>Source!AV92</f>
        <v>1.0469999999999999</v>
      </c>
      <c r="I353" s="49"/>
      <c r="J353" s="52"/>
      <c r="K353" s="52">
        <f>Source!U92</f>
        <v>53.665394680799999</v>
      </c>
    </row>
    <row r="354" spans="1:16" ht="15" x14ac:dyDescent="0.25">
      <c r="A354" s="53"/>
      <c r="B354" s="53"/>
      <c r="C354" s="54" t="s">
        <v>685</v>
      </c>
      <c r="D354" s="53"/>
      <c r="E354" s="53"/>
      <c r="F354" s="53"/>
      <c r="G354" s="53"/>
      <c r="H354" s="53"/>
      <c r="I354" s="55">
        <f>J345+J346+J348+J350+J351+J352+SUM(J349:J349)</f>
        <v>60423.22</v>
      </c>
      <c r="J354" s="55"/>
      <c r="K354" s="56">
        <f>IF(Source!I92&lt;&gt;0, ROUND(I354/Source!I92, 2), 0)</f>
        <v>348461.48</v>
      </c>
      <c r="P354" s="43">
        <f>J345+J346+J348+J350+J351+J352+SUM(J349:J349)</f>
        <v>60423.22</v>
      </c>
    </row>
    <row r="357" spans="1:16" ht="15" x14ac:dyDescent="0.25">
      <c r="A357" s="57" t="str">
        <f>CONCATENATE("Итого по локальной смете: ",IF(Source!G95&lt;&gt;"Новая локальная смета", Source!G95, ""))</f>
        <v>Итого по локальной смете: Отделка помещения</v>
      </c>
      <c r="B357" s="57"/>
      <c r="C357" s="57"/>
      <c r="D357" s="57"/>
      <c r="E357" s="57"/>
      <c r="F357" s="57"/>
      <c r="G357" s="57"/>
      <c r="H357" s="57"/>
      <c r="I357" s="45">
        <f>SUM(P22:P356)</f>
        <v>3722525.1599999997</v>
      </c>
      <c r="J357" s="19"/>
      <c r="K357" s="20"/>
    </row>
    <row r="358" spans="1:16" hidden="1" x14ac:dyDescent="0.2">
      <c r="A358" t="s">
        <v>687</v>
      </c>
      <c r="I358">
        <f>SUM(AD22:AD357)</f>
        <v>0</v>
      </c>
    </row>
    <row r="359" spans="1:16" hidden="1" x14ac:dyDescent="0.2">
      <c r="A359" t="s">
        <v>688</v>
      </c>
      <c r="I359">
        <f>SUM(AF22:AF358)</f>
        <v>0</v>
      </c>
    </row>
    <row r="361" spans="1:16" ht="15" x14ac:dyDescent="0.25">
      <c r="A361" s="57" t="str">
        <f>CONCATENATE("Итого по смете: ",IF(Source!G124&lt;&gt;"Новый объект", Source!G124, ""))</f>
        <v>Итого по смете: Отделка</v>
      </c>
      <c r="B361" s="57"/>
      <c r="C361" s="57"/>
      <c r="D361" s="57"/>
      <c r="E361" s="57"/>
      <c r="F361" s="57"/>
      <c r="G361" s="57"/>
      <c r="H361" s="57"/>
      <c r="I361" s="45">
        <f>SUM(P1:P360)</f>
        <v>3722525.1599999997</v>
      </c>
      <c r="J361" s="19"/>
      <c r="K361" s="20"/>
    </row>
    <row r="362" spans="1:16" hidden="1" x14ac:dyDescent="0.2">
      <c r="A362" t="s">
        <v>687</v>
      </c>
      <c r="I362">
        <f>SUM(AD1:AD361)</f>
        <v>0</v>
      </c>
    </row>
    <row r="363" spans="1:16" hidden="1" x14ac:dyDescent="0.2">
      <c r="A363" t="s">
        <v>688</v>
      </c>
      <c r="I363">
        <f>SUM(AF1:AF362)</f>
        <v>0</v>
      </c>
    </row>
    <row r="364" spans="1:16" ht="14.25" x14ac:dyDescent="0.2">
      <c r="C364" s="58" t="str">
        <f>Source!H152</f>
        <v>Итого</v>
      </c>
      <c r="D364" s="58"/>
      <c r="E364" s="58"/>
      <c r="F364" s="58"/>
      <c r="G364" s="58"/>
      <c r="H364" s="58"/>
      <c r="I364" s="44">
        <f>IF(Source!F152=0, "", Source!F152)</f>
        <v>3722525.16</v>
      </c>
      <c r="J364" s="44"/>
    </row>
    <row r="365" spans="1:16" ht="14.25" x14ac:dyDescent="0.2">
      <c r="C365" s="58" t="str">
        <f>Source!H153</f>
        <v>НДС 20%</v>
      </c>
      <c r="D365" s="58"/>
      <c r="E365" s="58"/>
      <c r="F365" s="58"/>
      <c r="G365" s="58"/>
      <c r="H365" s="58"/>
      <c r="I365" s="44">
        <f>IF(Source!F153=0, "", Source!F153)</f>
        <v>744505.03</v>
      </c>
      <c r="J365" s="44"/>
    </row>
    <row r="366" spans="1:16" ht="14.25" x14ac:dyDescent="0.2">
      <c r="C366" s="58" t="str">
        <f>Source!H154</f>
        <v>ИТОГО с НДС</v>
      </c>
      <c r="D366" s="58"/>
      <c r="E366" s="58"/>
      <c r="F366" s="58"/>
      <c r="G366" s="58"/>
      <c r="H366" s="58"/>
      <c r="I366" s="44">
        <f>IF(Source!F154=0, "", Source!F154)</f>
        <v>4467030.1900000004</v>
      </c>
      <c r="J366" s="44"/>
    </row>
    <row r="369" spans="1:11" ht="14.25" x14ac:dyDescent="0.2">
      <c r="A369" s="59" t="s">
        <v>699</v>
      </c>
      <c r="B369" s="59"/>
      <c r="C369" s="60" t="str">
        <f>IF(Source!AM12&lt;&gt;"", Source!AM12," ")</f>
        <v xml:space="preserve"> </v>
      </c>
      <c r="D369" s="60"/>
      <c r="E369" s="60"/>
      <c r="F369" s="60"/>
      <c r="G369" s="60"/>
      <c r="H369" s="10" t="str">
        <f>IF(Source!AL12&lt;&gt;"", Source!AL12," ")</f>
        <v xml:space="preserve"> </v>
      </c>
      <c r="I369" s="10"/>
      <c r="J369" s="10"/>
      <c r="K369" s="10"/>
    </row>
    <row r="370" spans="1:11" ht="14.25" x14ac:dyDescent="0.2">
      <c r="A370" s="10"/>
      <c r="B370" s="10"/>
      <c r="C370" s="12" t="s">
        <v>691</v>
      </c>
      <c r="D370" s="12"/>
      <c r="E370" s="12"/>
      <c r="F370" s="12"/>
      <c r="G370" s="12"/>
      <c r="H370" s="10"/>
      <c r="I370" s="10"/>
      <c r="J370" s="10"/>
      <c r="K370" s="10"/>
    </row>
    <row r="371" spans="1:11" ht="14.25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4.25" x14ac:dyDescent="0.2">
      <c r="A372" s="59" t="s">
        <v>700</v>
      </c>
      <c r="B372" s="59"/>
      <c r="C372" s="60" t="str">
        <f>IF(Source!AI12&lt;&gt;"", Source!AI12," ")</f>
        <v xml:space="preserve"> </v>
      </c>
      <c r="D372" s="60"/>
      <c r="E372" s="60"/>
      <c r="F372" s="60"/>
      <c r="G372" s="60"/>
      <c r="H372" s="10" t="str">
        <f>IF(Source!AH12&lt;&gt;"", Source!AH12," ")</f>
        <v xml:space="preserve"> </v>
      </c>
      <c r="I372" s="10"/>
      <c r="J372" s="10"/>
      <c r="K372" s="10"/>
    </row>
    <row r="373" spans="1:11" ht="14.25" x14ac:dyDescent="0.2">
      <c r="A373" s="10"/>
      <c r="B373" s="10"/>
      <c r="C373" s="12" t="s">
        <v>691</v>
      </c>
      <c r="D373" s="12"/>
      <c r="E373" s="12"/>
      <c r="F373" s="12"/>
      <c r="G373" s="12"/>
      <c r="H373" s="10"/>
      <c r="I373" s="10"/>
      <c r="J373" s="10"/>
      <c r="K373" s="10"/>
    </row>
  </sheetData>
  <mergeCells count="59">
    <mergeCell ref="C366:H366"/>
    <mergeCell ref="I366:J366"/>
    <mergeCell ref="A369:B369"/>
    <mergeCell ref="C370:G370"/>
    <mergeCell ref="A372:B372"/>
    <mergeCell ref="C373:G373"/>
    <mergeCell ref="I361:J361"/>
    <mergeCell ref="A361:H361"/>
    <mergeCell ref="C364:H364"/>
    <mergeCell ref="I364:J364"/>
    <mergeCell ref="C365:H365"/>
    <mergeCell ref="I365:J365"/>
    <mergeCell ref="I316:J316"/>
    <mergeCell ref="I328:J328"/>
    <mergeCell ref="I341:J341"/>
    <mergeCell ref="I354:J354"/>
    <mergeCell ref="I357:J357"/>
    <mergeCell ref="A357:H357"/>
    <mergeCell ref="I232:J232"/>
    <mergeCell ref="I244:J244"/>
    <mergeCell ref="I259:J259"/>
    <mergeCell ref="I276:J276"/>
    <mergeCell ref="I289:J289"/>
    <mergeCell ref="I303:J303"/>
    <mergeCell ref="I152:J152"/>
    <mergeCell ref="I166:J166"/>
    <mergeCell ref="I179:J179"/>
    <mergeCell ref="I193:J193"/>
    <mergeCell ref="I206:J206"/>
    <mergeCell ref="I218:J218"/>
    <mergeCell ref="I79:J79"/>
    <mergeCell ref="I88:J88"/>
    <mergeCell ref="I101:J101"/>
    <mergeCell ref="I114:J114"/>
    <mergeCell ref="I127:J127"/>
    <mergeCell ref="I140:J140"/>
    <mergeCell ref="I17:I19"/>
    <mergeCell ref="J17:J19"/>
    <mergeCell ref="A22:K22"/>
    <mergeCell ref="I38:J38"/>
    <mergeCell ref="I52:J52"/>
    <mergeCell ref="I64:J64"/>
    <mergeCell ref="C13:K13"/>
    <mergeCell ref="A16:K16"/>
    <mergeCell ref="A17:A19"/>
    <mergeCell ref="B17:B19"/>
    <mergeCell ref="C17:C19"/>
    <mergeCell ref="D17:D19"/>
    <mergeCell ref="E17:E19"/>
    <mergeCell ref="F17:F19"/>
    <mergeCell ref="G17:G19"/>
    <mergeCell ref="H17:H19"/>
    <mergeCell ref="A3:B3"/>
    <mergeCell ref="A5:B5"/>
    <mergeCell ref="A7:K7"/>
    <mergeCell ref="A10:B10"/>
    <mergeCell ref="C10:K10"/>
    <mergeCell ref="A12:B12"/>
    <mergeCell ref="C12:K12"/>
  </mergeCells>
  <pageMargins left="0.4" right="0.2" top="0.2" bottom="0.4" header="0.2" footer="0.2"/>
  <pageSetup paperSize="9" scale="64" fitToHeight="0" orientation="portrait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64"/>
  <sheetViews>
    <sheetView workbookViewId="0">
      <selection activeCell="A160" sqref="A160:AA160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62423</v>
      </c>
      <c r="M1">
        <v>10</v>
      </c>
      <c r="N1">
        <v>10</v>
      </c>
      <c r="O1">
        <v>1</v>
      </c>
      <c r="P1">
        <v>0</v>
      </c>
      <c r="Q1">
        <v>10</v>
      </c>
    </row>
    <row r="12" spans="1:133" x14ac:dyDescent="0.2">
      <c r="A12" s="1">
        <v>1</v>
      </c>
      <c r="B12" s="1">
        <v>159</v>
      </c>
      <c r="C12" s="1">
        <v>0</v>
      </c>
      <c r="D12" s="1">
        <f>ROW(A124)</f>
        <v>124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157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3</v>
      </c>
      <c r="CF12" s="1">
        <v>0</v>
      </c>
      <c r="CG12" s="1">
        <v>0</v>
      </c>
      <c r="CH12" s="1">
        <v>8200</v>
      </c>
      <c r="CI12" s="1" t="s">
        <v>3</v>
      </c>
      <c r="CJ12" s="1" t="s">
        <v>3</v>
      </c>
      <c r="CK12" s="1">
        <v>48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B124</f>
        <v>159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/>
      </c>
      <c r="G18" s="2" t="str">
        <f t="shared" si="0"/>
        <v>Отделка</v>
      </c>
      <c r="H18" s="2"/>
      <c r="I18" s="2"/>
      <c r="J18" s="2"/>
      <c r="K18" s="2"/>
      <c r="L18" s="2"/>
      <c r="M18" s="2"/>
      <c r="N18" s="2"/>
      <c r="O18" s="2">
        <f t="shared" ref="O18:AT18" si="1">O124</f>
        <v>2351448.14</v>
      </c>
      <c r="P18" s="2">
        <f t="shared" si="1"/>
        <v>1208865.92</v>
      </c>
      <c r="Q18" s="2">
        <f t="shared" si="1"/>
        <v>16211.01</v>
      </c>
      <c r="R18" s="2">
        <f t="shared" si="1"/>
        <v>7620.87</v>
      </c>
      <c r="S18" s="2">
        <f t="shared" si="1"/>
        <v>1126371.21</v>
      </c>
      <c r="T18" s="2">
        <f t="shared" si="1"/>
        <v>0</v>
      </c>
      <c r="U18" s="2">
        <f t="shared" si="1"/>
        <v>4618.4732981387997</v>
      </c>
      <c r="V18" s="2">
        <f t="shared" si="1"/>
        <v>0</v>
      </c>
      <c r="W18" s="2">
        <f t="shared" si="1"/>
        <v>0</v>
      </c>
      <c r="X18" s="2">
        <f t="shared" si="1"/>
        <v>897300.05</v>
      </c>
      <c r="Y18" s="2">
        <f t="shared" si="1"/>
        <v>461812.22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3722525.16</v>
      </c>
      <c r="AS18" s="2">
        <f t="shared" si="1"/>
        <v>3722525.16</v>
      </c>
      <c r="AT18" s="2">
        <f t="shared" si="1"/>
        <v>0</v>
      </c>
      <c r="AU18" s="2">
        <f t="shared" ref="AU18:BZ18" si="2">AU124</f>
        <v>0</v>
      </c>
      <c r="AV18" s="2">
        <f t="shared" si="2"/>
        <v>1208865.92</v>
      </c>
      <c r="AW18" s="2">
        <f t="shared" si="2"/>
        <v>1208865.92</v>
      </c>
      <c r="AX18" s="2">
        <f t="shared" si="2"/>
        <v>0</v>
      </c>
      <c r="AY18" s="2">
        <f t="shared" si="2"/>
        <v>1208865.92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CA124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DG124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EM124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FS124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ROW(A95)</f>
        <v>95</v>
      </c>
      <c r="E20" s="1"/>
      <c r="F20" s="1" t="s">
        <v>3</v>
      </c>
      <c r="G20" s="1" t="s">
        <v>10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">
      <c r="A22" s="2">
        <v>52</v>
      </c>
      <c r="B22" s="2">
        <f t="shared" ref="B22:G22" si="7">B95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/>
      </c>
      <c r="G22" s="2" t="str">
        <f t="shared" si="7"/>
        <v>Отделка помещения</v>
      </c>
      <c r="H22" s="2"/>
      <c r="I22" s="2"/>
      <c r="J22" s="2"/>
      <c r="K22" s="2"/>
      <c r="L22" s="2"/>
      <c r="M22" s="2"/>
      <c r="N22" s="2"/>
      <c r="O22" s="2">
        <f t="shared" ref="O22:AT22" si="8">O95</f>
        <v>2351448.14</v>
      </c>
      <c r="P22" s="2">
        <f t="shared" si="8"/>
        <v>1208865.92</v>
      </c>
      <c r="Q22" s="2">
        <f t="shared" si="8"/>
        <v>16211.01</v>
      </c>
      <c r="R22" s="2">
        <f t="shared" si="8"/>
        <v>7620.87</v>
      </c>
      <c r="S22" s="2">
        <f t="shared" si="8"/>
        <v>1126371.21</v>
      </c>
      <c r="T22" s="2">
        <f t="shared" si="8"/>
        <v>0</v>
      </c>
      <c r="U22" s="2">
        <f t="shared" si="8"/>
        <v>4618.4732981387997</v>
      </c>
      <c r="V22" s="2">
        <f t="shared" si="8"/>
        <v>0</v>
      </c>
      <c r="W22" s="2">
        <f t="shared" si="8"/>
        <v>0</v>
      </c>
      <c r="X22" s="2">
        <f t="shared" si="8"/>
        <v>897300.05</v>
      </c>
      <c r="Y22" s="2">
        <f t="shared" si="8"/>
        <v>461812.22</v>
      </c>
      <c r="Z22" s="2">
        <f t="shared" si="8"/>
        <v>0</v>
      </c>
      <c r="AA22" s="2">
        <f t="shared" si="8"/>
        <v>0</v>
      </c>
      <c r="AB22" s="2">
        <f t="shared" si="8"/>
        <v>2351448.14</v>
      </c>
      <c r="AC22" s="2">
        <f t="shared" si="8"/>
        <v>1208865.92</v>
      </c>
      <c r="AD22" s="2">
        <f t="shared" si="8"/>
        <v>16211.01</v>
      </c>
      <c r="AE22" s="2">
        <f t="shared" si="8"/>
        <v>7620.87</v>
      </c>
      <c r="AF22" s="2">
        <f t="shared" si="8"/>
        <v>1126371.21</v>
      </c>
      <c r="AG22" s="2">
        <f t="shared" si="8"/>
        <v>0</v>
      </c>
      <c r="AH22" s="2">
        <f t="shared" si="8"/>
        <v>4618.4732981387997</v>
      </c>
      <c r="AI22" s="2">
        <f t="shared" si="8"/>
        <v>0</v>
      </c>
      <c r="AJ22" s="2">
        <f t="shared" si="8"/>
        <v>0</v>
      </c>
      <c r="AK22" s="2">
        <f t="shared" si="8"/>
        <v>897300.05</v>
      </c>
      <c r="AL22" s="2">
        <f t="shared" si="8"/>
        <v>461812.22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3722525.16</v>
      </c>
      <c r="AS22" s="2">
        <f t="shared" si="8"/>
        <v>3722525.16</v>
      </c>
      <c r="AT22" s="2">
        <f t="shared" si="8"/>
        <v>0</v>
      </c>
      <c r="AU22" s="2">
        <f t="shared" ref="AU22:BZ22" si="9">AU95</f>
        <v>0</v>
      </c>
      <c r="AV22" s="2">
        <f t="shared" si="9"/>
        <v>1208865.92</v>
      </c>
      <c r="AW22" s="2">
        <f t="shared" si="9"/>
        <v>1208865.92</v>
      </c>
      <c r="AX22" s="2">
        <f t="shared" si="9"/>
        <v>0</v>
      </c>
      <c r="AY22" s="2">
        <f t="shared" si="9"/>
        <v>1208865.92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CA95</f>
        <v>3722525.16</v>
      </c>
      <c r="CB22" s="2">
        <f t="shared" si="10"/>
        <v>3722525.16</v>
      </c>
      <c r="CC22" s="2">
        <f t="shared" si="10"/>
        <v>0</v>
      </c>
      <c r="CD22" s="2">
        <f t="shared" si="10"/>
        <v>0</v>
      </c>
      <c r="CE22" s="2">
        <f t="shared" si="10"/>
        <v>1208865.92</v>
      </c>
      <c r="CF22" s="2">
        <f t="shared" si="10"/>
        <v>1208865.92</v>
      </c>
      <c r="CG22" s="2">
        <f t="shared" si="10"/>
        <v>0</v>
      </c>
      <c r="CH22" s="2">
        <f t="shared" si="10"/>
        <v>1208865.92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DG95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EM95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FS95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>
        <v>17</v>
      </c>
      <c r="B24">
        <v>1</v>
      </c>
      <c r="C24">
        <f>ROW(SmtRes!A21)</f>
        <v>21</v>
      </c>
      <c r="D24">
        <f>ROW(EtalonRes!A20)</f>
        <v>20</v>
      </c>
      <c r="E24" t="s">
        <v>11</v>
      </c>
      <c r="F24" t="s">
        <v>12</v>
      </c>
      <c r="G24" t="s">
        <v>13</v>
      </c>
      <c r="H24" t="s">
        <v>14</v>
      </c>
      <c r="I24">
        <f>ROUND(835.5/100,9)</f>
        <v>8.3550000000000004</v>
      </c>
      <c r="J24">
        <v>0</v>
      </c>
      <c r="O24">
        <f t="shared" ref="O24:O55" si="14">ROUND(CP24,2)</f>
        <v>235237.96</v>
      </c>
      <c r="P24">
        <f t="shared" ref="P24:P55" si="15">ROUND(CQ24*I24,2)</f>
        <v>39911.870000000003</v>
      </c>
      <c r="Q24">
        <f t="shared" ref="Q24:Q55" si="16">ROUND(CR24*I24,2)</f>
        <v>3530.94</v>
      </c>
      <c r="R24">
        <f t="shared" ref="R24:R55" si="17">ROUND(CS24*I24,2)</f>
        <v>2005.36</v>
      </c>
      <c r="S24">
        <f t="shared" ref="S24:S55" si="18">ROUND(CT24*I24,2)</f>
        <v>191795.15</v>
      </c>
      <c r="T24">
        <f t="shared" ref="T24:T55" si="19">ROUND(CU24*I24,2)</f>
        <v>0</v>
      </c>
      <c r="U24">
        <f t="shared" ref="U24:U55" si="20">CV24*I24</f>
        <v>785.77392665249999</v>
      </c>
      <c r="V24">
        <f t="shared" ref="V24:V55" si="21">CW24*I24</f>
        <v>0</v>
      </c>
      <c r="W24">
        <f t="shared" ref="W24:W55" si="22">ROUND(CX24*I24,2)</f>
        <v>0</v>
      </c>
      <c r="X24">
        <f t="shared" ref="X24:X55" si="23">ROUND(CY24,2)</f>
        <v>140010.46</v>
      </c>
      <c r="Y24">
        <f t="shared" ref="Y24:Y55" si="24">ROUND(CZ24,2)</f>
        <v>78636.009999999995</v>
      </c>
      <c r="AA24">
        <v>44962055</v>
      </c>
      <c r="AB24">
        <f t="shared" ref="AB24:AB55" si="25">ROUND((AC24+AD24+AF24),6)</f>
        <v>2953.2620000000002</v>
      </c>
      <c r="AC24">
        <f t="shared" ref="AC24:AC49" si="26">ROUND((ES24),6)</f>
        <v>1830.27</v>
      </c>
      <c r="AD24">
        <f>ROUND(((ET24*1.25)),6)</f>
        <v>48.225000000000001</v>
      </c>
      <c r="AE24">
        <f>ROUND(((EU24*1.25)),6)</f>
        <v>11.237500000000001</v>
      </c>
      <c r="AF24">
        <f>ROUND(((EV24*1.15)),6)</f>
        <v>1074.7670000000001</v>
      </c>
      <c r="AG24">
        <f t="shared" ref="AG24:AG55" si="27">ROUND((AP24),6)</f>
        <v>0</v>
      </c>
      <c r="AH24">
        <f>((EW24*1.15))</f>
        <v>89.826499999999996</v>
      </c>
      <c r="AI24">
        <f>((EX24*1.25))</f>
        <v>0</v>
      </c>
      <c r="AJ24">
        <f t="shared" ref="AJ24:AJ55" si="28">(AS24)</f>
        <v>0</v>
      </c>
      <c r="AK24">
        <v>2803.43</v>
      </c>
      <c r="AL24">
        <v>1830.27</v>
      </c>
      <c r="AM24">
        <v>38.58</v>
      </c>
      <c r="AN24">
        <v>8.99</v>
      </c>
      <c r="AO24">
        <v>934.58</v>
      </c>
      <c r="AP24">
        <v>0</v>
      </c>
      <c r="AQ24">
        <v>78.11</v>
      </c>
      <c r="AR24">
        <v>0</v>
      </c>
      <c r="AS24">
        <v>0</v>
      </c>
      <c r="AT24">
        <v>73</v>
      </c>
      <c r="AU24">
        <v>41</v>
      </c>
      <c r="AV24">
        <v>1.0469999999999999</v>
      </c>
      <c r="AW24">
        <v>1</v>
      </c>
      <c r="AZ24">
        <v>1</v>
      </c>
      <c r="BA24">
        <v>20.399999999999999</v>
      </c>
      <c r="BB24">
        <v>8.3699999999999992</v>
      </c>
      <c r="BC24">
        <v>2.61</v>
      </c>
      <c r="BD24" t="s">
        <v>3</v>
      </c>
      <c r="BE24" t="s">
        <v>3</v>
      </c>
      <c r="BF24" t="s">
        <v>3</v>
      </c>
      <c r="BG24" t="s">
        <v>3</v>
      </c>
      <c r="BH24">
        <v>0</v>
      </c>
      <c r="BI24">
        <v>1</v>
      </c>
      <c r="BJ24" t="s">
        <v>15</v>
      </c>
      <c r="BM24">
        <v>1659</v>
      </c>
      <c r="BN24">
        <v>0</v>
      </c>
      <c r="BO24" t="s">
        <v>12</v>
      </c>
      <c r="BP24">
        <v>1</v>
      </c>
      <c r="BQ24">
        <v>30</v>
      </c>
      <c r="BR24">
        <v>0</v>
      </c>
      <c r="BS24">
        <v>20.399999999999999</v>
      </c>
      <c r="BT24">
        <v>1</v>
      </c>
      <c r="BU24">
        <v>1</v>
      </c>
      <c r="BV24">
        <v>1</v>
      </c>
      <c r="BW24">
        <v>1</v>
      </c>
      <c r="BX24">
        <v>1</v>
      </c>
      <c r="BY24" t="s">
        <v>3</v>
      </c>
      <c r="BZ24">
        <v>73</v>
      </c>
      <c r="CA24">
        <v>41</v>
      </c>
      <c r="CE24">
        <v>0</v>
      </c>
      <c r="CF24">
        <v>0</v>
      </c>
      <c r="CG24">
        <v>0</v>
      </c>
      <c r="CM24">
        <v>0</v>
      </c>
      <c r="CN24" t="s">
        <v>16</v>
      </c>
      <c r="CO24">
        <v>0</v>
      </c>
      <c r="CP24">
        <f t="shared" ref="CP24:CP55" si="29">(P24+Q24+S24)</f>
        <v>235237.96</v>
      </c>
      <c r="CQ24">
        <f t="shared" ref="CQ24:CQ55" si="30">(AC24*BC24*AW24)</f>
        <v>4777.0046999999995</v>
      </c>
      <c r="CR24">
        <f t="shared" ref="CR24:CR55" si="31">(AD24*BB24*AV24)</f>
        <v>422.61448274999992</v>
      </c>
      <c r="CS24">
        <f t="shared" ref="CS24:CS55" si="32">(AE24*BS24*AV24)</f>
        <v>240.01951499999998</v>
      </c>
      <c r="CT24">
        <f t="shared" ref="CT24:CT55" si="33">(AF24*BA24*AV24)</f>
        <v>22955.733399599998</v>
      </c>
      <c r="CU24">
        <f t="shared" ref="CU24:CU55" si="34">AG24</f>
        <v>0</v>
      </c>
      <c r="CV24">
        <f t="shared" ref="CV24:CV55" si="35">(AH24*AV24)</f>
        <v>94.048345499999996</v>
      </c>
      <c r="CW24">
        <f t="shared" ref="CW24:CW55" si="36">AI24</f>
        <v>0</v>
      </c>
      <c r="CX24">
        <f t="shared" ref="CX24:CX55" si="37">AJ24</f>
        <v>0</v>
      </c>
      <c r="CY24">
        <f t="shared" ref="CY24:CY55" si="38">S24*(BZ24/100)</f>
        <v>140010.4595</v>
      </c>
      <c r="CZ24">
        <f t="shared" ref="CZ24:CZ55" si="39">S24*(CA24/100)</f>
        <v>78636.011499999993</v>
      </c>
      <c r="DC24" t="s">
        <v>3</v>
      </c>
      <c r="DD24" t="s">
        <v>3</v>
      </c>
      <c r="DE24" t="s">
        <v>17</v>
      </c>
      <c r="DF24" t="s">
        <v>17</v>
      </c>
      <c r="DG24" t="s">
        <v>18</v>
      </c>
      <c r="DH24" t="s">
        <v>3</v>
      </c>
      <c r="DI24" t="s">
        <v>18</v>
      </c>
      <c r="DJ24" t="s">
        <v>17</v>
      </c>
      <c r="DK24" t="s">
        <v>3</v>
      </c>
      <c r="DL24" t="s">
        <v>3</v>
      </c>
      <c r="DM24" t="s">
        <v>3</v>
      </c>
      <c r="DN24">
        <v>91</v>
      </c>
      <c r="DO24">
        <v>70</v>
      </c>
      <c r="DP24">
        <v>1.0469999999999999</v>
      </c>
      <c r="DQ24">
        <v>1</v>
      </c>
      <c r="DU24">
        <v>1005</v>
      </c>
      <c r="DV24" t="s">
        <v>14</v>
      </c>
      <c r="DW24" t="s">
        <v>14</v>
      </c>
      <c r="DX24">
        <v>100</v>
      </c>
      <c r="EE24">
        <v>41869107</v>
      </c>
      <c r="EF24">
        <v>30</v>
      </c>
      <c r="EG24" t="s">
        <v>19</v>
      </c>
      <c r="EH24">
        <v>0</v>
      </c>
      <c r="EI24" t="s">
        <v>3</v>
      </c>
      <c r="EJ24">
        <v>1</v>
      </c>
      <c r="EK24">
        <v>1659</v>
      </c>
      <c r="EL24" t="s">
        <v>20</v>
      </c>
      <c r="EM24" t="s">
        <v>21</v>
      </c>
      <c r="EO24" t="s">
        <v>22</v>
      </c>
      <c r="EQ24">
        <v>0</v>
      </c>
      <c r="ER24">
        <v>2803.43</v>
      </c>
      <c r="ES24">
        <v>1830.27</v>
      </c>
      <c r="ET24">
        <v>38.58</v>
      </c>
      <c r="EU24">
        <v>8.99</v>
      </c>
      <c r="EV24">
        <v>934.58</v>
      </c>
      <c r="EW24">
        <v>78.11</v>
      </c>
      <c r="EX24">
        <v>0</v>
      </c>
      <c r="EY24">
        <v>0</v>
      </c>
      <c r="FQ24">
        <v>0</v>
      </c>
      <c r="FR24">
        <f t="shared" ref="FR24:FR55" si="40">ROUND(IF(AND(BH24=3,BI24=3),P24,0),2)</f>
        <v>0</v>
      </c>
      <c r="FS24">
        <v>0</v>
      </c>
      <c r="FX24">
        <v>91</v>
      </c>
      <c r="FY24">
        <v>70</v>
      </c>
      <c r="GA24" t="s">
        <v>3</v>
      </c>
      <c r="GD24">
        <v>0</v>
      </c>
      <c r="GF24">
        <v>-1798939454</v>
      </c>
      <c r="GG24">
        <v>2</v>
      </c>
      <c r="GH24">
        <v>1</v>
      </c>
      <c r="GI24">
        <v>2</v>
      </c>
      <c r="GJ24">
        <v>0</v>
      </c>
      <c r="GK24">
        <f>ROUND(R24*(R12)/100,2)</f>
        <v>3148.42</v>
      </c>
      <c r="GL24">
        <f t="shared" ref="GL24:GL55" si="41">ROUND(IF(AND(BH24=3,BI24=3,FS24&lt;&gt;0),P24,0),2)</f>
        <v>0</v>
      </c>
      <c r="GM24">
        <f>ROUND(O24+X24+Y24+GK24,2)+GX24</f>
        <v>457032.85</v>
      </c>
      <c r="GN24">
        <f>IF(OR(BI24=0,BI24=1),ROUND(O24+X24+Y24+GK24,2),0)</f>
        <v>457032.85</v>
      </c>
      <c r="GO24">
        <f>IF(BI24=2,ROUND(O24+X24+Y24+GK24,2),0)</f>
        <v>0</v>
      </c>
      <c r="GP24">
        <f>IF(BI24=4,ROUND(O24+X24+Y24+GK24,2)+GX24,0)</f>
        <v>0</v>
      </c>
      <c r="GR24">
        <v>0</v>
      </c>
      <c r="GS24">
        <v>3</v>
      </c>
      <c r="GT24">
        <v>0</v>
      </c>
      <c r="GU24" t="s">
        <v>3</v>
      </c>
      <c r="GV24">
        <f t="shared" ref="GV24:GV55" si="42">ROUND((GT24),6)</f>
        <v>0</v>
      </c>
      <c r="GW24">
        <v>1</v>
      </c>
      <c r="GX24">
        <f t="shared" ref="GX24:GX55" si="43">ROUND(HC24*I24,2)</f>
        <v>0</v>
      </c>
      <c r="HA24">
        <v>0</v>
      </c>
      <c r="HB24">
        <v>0</v>
      </c>
      <c r="HC24">
        <f t="shared" ref="HC24:HC55" si="44">GV24*GW24</f>
        <v>0</v>
      </c>
      <c r="IK24">
        <v>0</v>
      </c>
    </row>
    <row r="25" spans="1:245" x14ac:dyDescent="0.2">
      <c r="A25">
        <v>18</v>
      </c>
      <c r="B25">
        <v>1</v>
      </c>
      <c r="C25">
        <v>12</v>
      </c>
      <c r="E25" t="s">
        <v>23</v>
      </c>
      <c r="F25" t="s">
        <v>24</v>
      </c>
      <c r="G25" t="s">
        <v>25</v>
      </c>
      <c r="H25" t="s">
        <v>26</v>
      </c>
      <c r="I25">
        <f>I24*J25</f>
        <v>969.18</v>
      </c>
      <c r="J25">
        <v>115.99999999999999</v>
      </c>
      <c r="O25">
        <f t="shared" si="14"/>
        <v>4613.3</v>
      </c>
      <c r="P25">
        <f t="shared" si="15"/>
        <v>4613.3</v>
      </c>
      <c r="Q25">
        <f t="shared" si="16"/>
        <v>0</v>
      </c>
      <c r="R25">
        <f t="shared" si="17"/>
        <v>0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0</v>
      </c>
      <c r="W25">
        <f t="shared" si="22"/>
        <v>0</v>
      </c>
      <c r="X25">
        <f t="shared" si="23"/>
        <v>0</v>
      </c>
      <c r="Y25">
        <f t="shared" si="24"/>
        <v>0</v>
      </c>
      <c r="AA25">
        <v>44962055</v>
      </c>
      <c r="AB25">
        <f t="shared" si="25"/>
        <v>1</v>
      </c>
      <c r="AC25">
        <f t="shared" si="26"/>
        <v>1</v>
      </c>
      <c r="AD25">
        <f t="shared" ref="AD25:AF29" si="45">ROUND((ET25),6)</f>
        <v>0</v>
      </c>
      <c r="AE25">
        <f t="shared" si="45"/>
        <v>0</v>
      </c>
      <c r="AF25">
        <f t="shared" si="45"/>
        <v>0</v>
      </c>
      <c r="AG25">
        <f t="shared" si="27"/>
        <v>0</v>
      </c>
      <c r="AH25">
        <f t="shared" ref="AH25:AI29" si="46">(EW25)</f>
        <v>0</v>
      </c>
      <c r="AI25">
        <f t="shared" si="46"/>
        <v>0</v>
      </c>
      <c r="AJ25">
        <f t="shared" si="28"/>
        <v>0</v>
      </c>
      <c r="AK25">
        <v>1</v>
      </c>
      <c r="AL25">
        <v>1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1</v>
      </c>
      <c r="AW25">
        <v>1</v>
      </c>
      <c r="AZ25">
        <v>1</v>
      </c>
      <c r="BA25">
        <v>1</v>
      </c>
      <c r="BB25">
        <v>1</v>
      </c>
      <c r="BC25">
        <v>4.76</v>
      </c>
      <c r="BD25" t="s">
        <v>3</v>
      </c>
      <c r="BE25" t="s">
        <v>3</v>
      </c>
      <c r="BF25" t="s">
        <v>3</v>
      </c>
      <c r="BG25" t="s">
        <v>3</v>
      </c>
      <c r="BH25">
        <v>3</v>
      </c>
      <c r="BI25">
        <v>1</v>
      </c>
      <c r="BJ25" t="s">
        <v>27</v>
      </c>
      <c r="BM25">
        <v>1659</v>
      </c>
      <c r="BN25">
        <v>0</v>
      </c>
      <c r="BO25" t="s">
        <v>24</v>
      </c>
      <c r="BP25">
        <v>1</v>
      </c>
      <c r="BQ25">
        <v>30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0</v>
      </c>
      <c r="CA25">
        <v>0</v>
      </c>
      <c r="CE25">
        <v>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29"/>
        <v>4613.3</v>
      </c>
      <c r="CQ25">
        <f t="shared" si="30"/>
        <v>4.76</v>
      </c>
      <c r="CR25">
        <f t="shared" si="31"/>
        <v>0</v>
      </c>
      <c r="CS25">
        <f t="shared" si="32"/>
        <v>0</v>
      </c>
      <c r="CT25">
        <f t="shared" si="33"/>
        <v>0</v>
      </c>
      <c r="CU25">
        <f t="shared" si="34"/>
        <v>0</v>
      </c>
      <c r="CV25">
        <f t="shared" si="35"/>
        <v>0</v>
      </c>
      <c r="CW25">
        <f t="shared" si="36"/>
        <v>0</v>
      </c>
      <c r="CX25">
        <f t="shared" si="37"/>
        <v>0</v>
      </c>
      <c r="CY25">
        <f t="shared" si="38"/>
        <v>0</v>
      </c>
      <c r="CZ25">
        <f t="shared" si="39"/>
        <v>0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91</v>
      </c>
      <c r="DO25">
        <v>70</v>
      </c>
      <c r="DP25">
        <v>1.0469999999999999</v>
      </c>
      <c r="DQ25">
        <v>1</v>
      </c>
      <c r="DU25">
        <v>1003</v>
      </c>
      <c r="DV25" t="s">
        <v>26</v>
      </c>
      <c r="DW25" t="s">
        <v>26</v>
      </c>
      <c r="DX25">
        <v>1</v>
      </c>
      <c r="EE25">
        <v>41869107</v>
      </c>
      <c r="EF25">
        <v>30</v>
      </c>
      <c r="EG25" t="s">
        <v>19</v>
      </c>
      <c r="EH25">
        <v>0</v>
      </c>
      <c r="EI25" t="s">
        <v>3</v>
      </c>
      <c r="EJ25">
        <v>1</v>
      </c>
      <c r="EK25">
        <v>1659</v>
      </c>
      <c r="EL25" t="s">
        <v>20</v>
      </c>
      <c r="EM25" t="s">
        <v>21</v>
      </c>
      <c r="EO25" t="s">
        <v>3</v>
      </c>
      <c r="EQ25">
        <v>0</v>
      </c>
      <c r="ER25">
        <v>1</v>
      </c>
      <c r="ES25">
        <v>1</v>
      </c>
      <c r="ET25">
        <v>0</v>
      </c>
      <c r="EU25">
        <v>0</v>
      </c>
      <c r="EV25">
        <v>0</v>
      </c>
      <c r="EW25">
        <v>0</v>
      </c>
      <c r="EX25">
        <v>0</v>
      </c>
      <c r="FQ25">
        <v>0</v>
      </c>
      <c r="FR25">
        <f t="shared" si="40"/>
        <v>0</v>
      </c>
      <c r="FS25">
        <v>0</v>
      </c>
      <c r="FX25">
        <v>91</v>
      </c>
      <c r="FY25">
        <v>70</v>
      </c>
      <c r="GA25" t="s">
        <v>3</v>
      </c>
      <c r="GD25">
        <v>1</v>
      </c>
      <c r="GF25">
        <v>-98214540</v>
      </c>
      <c r="GG25">
        <v>2</v>
      </c>
      <c r="GH25">
        <v>1</v>
      </c>
      <c r="GI25">
        <v>2</v>
      </c>
      <c r="GJ25">
        <v>0</v>
      </c>
      <c r="GK25">
        <v>0</v>
      </c>
      <c r="GL25">
        <f t="shared" si="41"/>
        <v>0</v>
      </c>
      <c r="GM25">
        <f>ROUND(O25+X25+Y25,2)+GX25</f>
        <v>4613.3</v>
      </c>
      <c r="GN25">
        <f>IF(OR(BI25=0,BI25=1),ROUND(O25+X25+Y25,2),0)</f>
        <v>4613.3</v>
      </c>
      <c r="GO25">
        <f>IF(BI25=2,ROUND(O25+X25+Y25,2),0)</f>
        <v>0</v>
      </c>
      <c r="GP25">
        <f>IF(BI25=4,ROUND(O25+X25+Y25,2)+GX25,0)</f>
        <v>0</v>
      </c>
      <c r="GR25">
        <v>0</v>
      </c>
      <c r="GS25">
        <v>3</v>
      </c>
      <c r="GT25">
        <v>0</v>
      </c>
      <c r="GU25" t="s">
        <v>3</v>
      </c>
      <c r="GV25">
        <f t="shared" si="42"/>
        <v>0</v>
      </c>
      <c r="GW25">
        <v>1</v>
      </c>
      <c r="GX25">
        <f t="shared" si="43"/>
        <v>0</v>
      </c>
      <c r="HA25">
        <v>0</v>
      </c>
      <c r="HB25">
        <v>0</v>
      </c>
      <c r="HC25">
        <f t="shared" si="44"/>
        <v>0</v>
      </c>
      <c r="IK25">
        <v>0</v>
      </c>
    </row>
    <row r="26" spans="1:245" x14ac:dyDescent="0.2">
      <c r="A26">
        <v>18</v>
      </c>
      <c r="B26">
        <v>1</v>
      </c>
      <c r="C26">
        <v>20</v>
      </c>
      <c r="E26" t="s">
        <v>28</v>
      </c>
      <c r="F26" t="s">
        <v>29</v>
      </c>
      <c r="G26" t="s">
        <v>30</v>
      </c>
      <c r="H26" t="s">
        <v>26</v>
      </c>
      <c r="I26">
        <f>I24*J26</f>
        <v>1010.955</v>
      </c>
      <c r="J26">
        <v>121</v>
      </c>
      <c r="O26">
        <f t="shared" si="14"/>
        <v>50537.24</v>
      </c>
      <c r="P26">
        <f t="shared" si="15"/>
        <v>50537.24</v>
      </c>
      <c r="Q26">
        <f t="shared" si="16"/>
        <v>0</v>
      </c>
      <c r="R26">
        <f t="shared" si="17"/>
        <v>0</v>
      </c>
      <c r="S26">
        <f t="shared" si="18"/>
        <v>0</v>
      </c>
      <c r="T26">
        <f t="shared" si="19"/>
        <v>0</v>
      </c>
      <c r="U26">
        <f t="shared" si="20"/>
        <v>0</v>
      </c>
      <c r="V26">
        <f t="shared" si="21"/>
        <v>0</v>
      </c>
      <c r="W26">
        <f t="shared" si="22"/>
        <v>0</v>
      </c>
      <c r="X26">
        <f t="shared" si="23"/>
        <v>0</v>
      </c>
      <c r="Y26">
        <f t="shared" si="24"/>
        <v>0</v>
      </c>
      <c r="AA26">
        <v>44962055</v>
      </c>
      <c r="AB26">
        <f t="shared" si="25"/>
        <v>23.58</v>
      </c>
      <c r="AC26">
        <f t="shared" si="26"/>
        <v>23.58</v>
      </c>
      <c r="AD26">
        <f t="shared" si="45"/>
        <v>0</v>
      </c>
      <c r="AE26">
        <f t="shared" si="45"/>
        <v>0</v>
      </c>
      <c r="AF26">
        <f t="shared" si="45"/>
        <v>0</v>
      </c>
      <c r="AG26">
        <f t="shared" si="27"/>
        <v>0</v>
      </c>
      <c r="AH26">
        <f t="shared" si="46"/>
        <v>0</v>
      </c>
      <c r="AI26">
        <f t="shared" si="46"/>
        <v>0</v>
      </c>
      <c r="AJ26">
        <f t="shared" si="28"/>
        <v>0</v>
      </c>
      <c r="AK26">
        <v>23.58</v>
      </c>
      <c r="AL26">
        <v>23.58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</v>
      </c>
      <c r="AW26">
        <v>1</v>
      </c>
      <c r="AZ26">
        <v>1</v>
      </c>
      <c r="BA26">
        <v>1</v>
      </c>
      <c r="BB26">
        <v>1</v>
      </c>
      <c r="BC26">
        <v>2.12</v>
      </c>
      <c r="BD26" t="s">
        <v>3</v>
      </c>
      <c r="BE26" t="s">
        <v>3</v>
      </c>
      <c r="BF26" t="s">
        <v>3</v>
      </c>
      <c r="BG26" t="s">
        <v>3</v>
      </c>
      <c r="BH26">
        <v>3</v>
      </c>
      <c r="BI26">
        <v>1</v>
      </c>
      <c r="BJ26" t="s">
        <v>31</v>
      </c>
      <c r="BM26">
        <v>1659</v>
      </c>
      <c r="BN26">
        <v>0</v>
      </c>
      <c r="BO26" t="s">
        <v>29</v>
      </c>
      <c r="BP26">
        <v>1</v>
      </c>
      <c r="BQ26">
        <v>30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 t="s">
        <v>3</v>
      </c>
      <c r="BZ26">
        <v>0</v>
      </c>
      <c r="CA26">
        <v>0</v>
      </c>
      <c r="CE26">
        <v>0</v>
      </c>
      <c r="CF26">
        <v>0</v>
      </c>
      <c r="CG26">
        <v>0</v>
      </c>
      <c r="CM26">
        <v>0</v>
      </c>
      <c r="CN26" t="s">
        <v>3</v>
      </c>
      <c r="CO26">
        <v>0</v>
      </c>
      <c r="CP26">
        <f t="shared" si="29"/>
        <v>50537.24</v>
      </c>
      <c r="CQ26">
        <f t="shared" si="30"/>
        <v>49.989599999999996</v>
      </c>
      <c r="CR26">
        <f t="shared" si="31"/>
        <v>0</v>
      </c>
      <c r="CS26">
        <f t="shared" si="32"/>
        <v>0</v>
      </c>
      <c r="CT26">
        <f t="shared" si="33"/>
        <v>0</v>
      </c>
      <c r="CU26">
        <f t="shared" si="34"/>
        <v>0</v>
      </c>
      <c r="CV26">
        <f t="shared" si="35"/>
        <v>0</v>
      </c>
      <c r="CW26">
        <f t="shared" si="36"/>
        <v>0</v>
      </c>
      <c r="CX26">
        <f t="shared" si="37"/>
        <v>0</v>
      </c>
      <c r="CY26">
        <f t="shared" si="38"/>
        <v>0</v>
      </c>
      <c r="CZ26">
        <f t="shared" si="39"/>
        <v>0</v>
      </c>
      <c r="DC26" t="s">
        <v>3</v>
      </c>
      <c r="DD26" t="s">
        <v>3</v>
      </c>
      <c r="DE26" t="s">
        <v>3</v>
      </c>
      <c r="DF26" t="s">
        <v>3</v>
      </c>
      <c r="DG26" t="s">
        <v>3</v>
      </c>
      <c r="DH26" t="s">
        <v>3</v>
      </c>
      <c r="DI26" t="s">
        <v>3</v>
      </c>
      <c r="DJ26" t="s">
        <v>3</v>
      </c>
      <c r="DK26" t="s">
        <v>3</v>
      </c>
      <c r="DL26" t="s">
        <v>3</v>
      </c>
      <c r="DM26" t="s">
        <v>3</v>
      </c>
      <c r="DN26">
        <v>91</v>
      </c>
      <c r="DO26">
        <v>70</v>
      </c>
      <c r="DP26">
        <v>1.0469999999999999</v>
      </c>
      <c r="DQ26">
        <v>1</v>
      </c>
      <c r="DU26">
        <v>1003</v>
      </c>
      <c r="DV26" t="s">
        <v>26</v>
      </c>
      <c r="DW26" t="s">
        <v>26</v>
      </c>
      <c r="DX26">
        <v>1</v>
      </c>
      <c r="EE26">
        <v>41869107</v>
      </c>
      <c r="EF26">
        <v>30</v>
      </c>
      <c r="EG26" t="s">
        <v>19</v>
      </c>
      <c r="EH26">
        <v>0</v>
      </c>
      <c r="EI26" t="s">
        <v>3</v>
      </c>
      <c r="EJ26">
        <v>1</v>
      </c>
      <c r="EK26">
        <v>1659</v>
      </c>
      <c r="EL26" t="s">
        <v>20</v>
      </c>
      <c r="EM26" t="s">
        <v>21</v>
      </c>
      <c r="EO26" t="s">
        <v>3</v>
      </c>
      <c r="EQ26">
        <v>0</v>
      </c>
      <c r="ER26">
        <v>23.58</v>
      </c>
      <c r="ES26">
        <v>23.58</v>
      </c>
      <c r="ET26">
        <v>0</v>
      </c>
      <c r="EU26">
        <v>0</v>
      </c>
      <c r="EV26">
        <v>0</v>
      </c>
      <c r="EW26">
        <v>0</v>
      </c>
      <c r="EX26">
        <v>0</v>
      </c>
      <c r="FQ26">
        <v>0</v>
      </c>
      <c r="FR26">
        <f t="shared" si="40"/>
        <v>0</v>
      </c>
      <c r="FS26">
        <v>0</v>
      </c>
      <c r="FX26">
        <v>91</v>
      </c>
      <c r="FY26">
        <v>70</v>
      </c>
      <c r="GA26" t="s">
        <v>3</v>
      </c>
      <c r="GD26">
        <v>1</v>
      </c>
      <c r="GF26">
        <v>-706929149</v>
      </c>
      <c r="GG26">
        <v>2</v>
      </c>
      <c r="GH26">
        <v>1</v>
      </c>
      <c r="GI26">
        <v>2</v>
      </c>
      <c r="GJ26">
        <v>0</v>
      </c>
      <c r="GK26">
        <v>0</v>
      </c>
      <c r="GL26">
        <f t="shared" si="41"/>
        <v>0</v>
      </c>
      <c r="GM26">
        <f>ROUND(O26+X26+Y26,2)+GX26</f>
        <v>50537.24</v>
      </c>
      <c r="GN26">
        <f>IF(OR(BI26=0,BI26=1),ROUND(O26+X26+Y26,2),0)</f>
        <v>50537.24</v>
      </c>
      <c r="GO26">
        <f>IF(BI26=2,ROUND(O26+X26+Y26,2),0)</f>
        <v>0</v>
      </c>
      <c r="GP26">
        <f>IF(BI26=4,ROUND(O26+X26+Y26,2)+GX26,0)</f>
        <v>0</v>
      </c>
      <c r="GR26">
        <v>0</v>
      </c>
      <c r="GS26">
        <v>3</v>
      </c>
      <c r="GT26">
        <v>0</v>
      </c>
      <c r="GU26" t="s">
        <v>3</v>
      </c>
      <c r="GV26">
        <f t="shared" si="42"/>
        <v>0</v>
      </c>
      <c r="GW26">
        <v>1</v>
      </c>
      <c r="GX26">
        <f t="shared" si="43"/>
        <v>0</v>
      </c>
      <c r="HA26">
        <v>0</v>
      </c>
      <c r="HB26">
        <v>0</v>
      </c>
      <c r="HC26">
        <f t="shared" si="44"/>
        <v>0</v>
      </c>
      <c r="IK26">
        <v>0</v>
      </c>
    </row>
    <row r="27" spans="1:245" x14ac:dyDescent="0.2">
      <c r="A27">
        <v>18</v>
      </c>
      <c r="B27">
        <v>1</v>
      </c>
      <c r="C27">
        <v>21</v>
      </c>
      <c r="E27" t="s">
        <v>32</v>
      </c>
      <c r="F27" t="s">
        <v>29</v>
      </c>
      <c r="G27" t="s">
        <v>30</v>
      </c>
      <c r="H27" t="s">
        <v>26</v>
      </c>
      <c r="I27">
        <f>I24*J27</f>
        <v>1879.875</v>
      </c>
      <c r="J27">
        <v>225</v>
      </c>
      <c r="O27">
        <f t="shared" si="14"/>
        <v>93974.2</v>
      </c>
      <c r="P27">
        <f t="shared" si="15"/>
        <v>93974.2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44962055</v>
      </c>
      <c r="AB27">
        <f t="shared" si="25"/>
        <v>23.58</v>
      </c>
      <c r="AC27">
        <f t="shared" si="26"/>
        <v>23.58</v>
      </c>
      <c r="AD27">
        <f t="shared" si="45"/>
        <v>0</v>
      </c>
      <c r="AE27">
        <f t="shared" si="45"/>
        <v>0</v>
      </c>
      <c r="AF27">
        <f t="shared" si="45"/>
        <v>0</v>
      </c>
      <c r="AG27">
        <f t="shared" si="27"/>
        <v>0</v>
      </c>
      <c r="AH27">
        <f t="shared" si="46"/>
        <v>0</v>
      </c>
      <c r="AI27">
        <f t="shared" si="46"/>
        <v>0</v>
      </c>
      <c r="AJ27">
        <f t="shared" si="28"/>
        <v>0</v>
      </c>
      <c r="AK27">
        <v>23.58</v>
      </c>
      <c r="AL27">
        <v>23.58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2.12</v>
      </c>
      <c r="BD27" t="s">
        <v>3</v>
      </c>
      <c r="BE27" t="s">
        <v>3</v>
      </c>
      <c r="BF27" t="s">
        <v>3</v>
      </c>
      <c r="BG27" t="s">
        <v>3</v>
      </c>
      <c r="BH27">
        <v>3</v>
      </c>
      <c r="BI27">
        <v>1</v>
      </c>
      <c r="BJ27" t="s">
        <v>31</v>
      </c>
      <c r="BM27">
        <v>1659</v>
      </c>
      <c r="BN27">
        <v>0</v>
      </c>
      <c r="BO27" t="s">
        <v>29</v>
      </c>
      <c r="BP27">
        <v>1</v>
      </c>
      <c r="BQ27">
        <v>30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0</v>
      </c>
      <c r="CA27">
        <v>0</v>
      </c>
      <c r="CE27">
        <v>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29"/>
        <v>93974.2</v>
      </c>
      <c r="CQ27">
        <f t="shared" si="30"/>
        <v>49.989599999999996</v>
      </c>
      <c r="CR27">
        <f t="shared" si="31"/>
        <v>0</v>
      </c>
      <c r="CS27">
        <f t="shared" si="32"/>
        <v>0</v>
      </c>
      <c r="CT27">
        <f t="shared" si="33"/>
        <v>0</v>
      </c>
      <c r="CU27">
        <f t="shared" si="34"/>
        <v>0</v>
      </c>
      <c r="CV27">
        <f t="shared" si="35"/>
        <v>0</v>
      </c>
      <c r="CW27">
        <f t="shared" si="36"/>
        <v>0</v>
      </c>
      <c r="CX27">
        <f t="shared" si="37"/>
        <v>0</v>
      </c>
      <c r="CY27">
        <f t="shared" si="38"/>
        <v>0</v>
      </c>
      <c r="CZ27">
        <f t="shared" si="39"/>
        <v>0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91</v>
      </c>
      <c r="DO27">
        <v>70</v>
      </c>
      <c r="DP27">
        <v>1.0469999999999999</v>
      </c>
      <c r="DQ27">
        <v>1</v>
      </c>
      <c r="DU27">
        <v>1003</v>
      </c>
      <c r="DV27" t="s">
        <v>26</v>
      </c>
      <c r="DW27" t="s">
        <v>26</v>
      </c>
      <c r="DX27">
        <v>1</v>
      </c>
      <c r="EE27">
        <v>41869107</v>
      </c>
      <c r="EF27">
        <v>30</v>
      </c>
      <c r="EG27" t="s">
        <v>19</v>
      </c>
      <c r="EH27">
        <v>0</v>
      </c>
      <c r="EI27" t="s">
        <v>3</v>
      </c>
      <c r="EJ27">
        <v>1</v>
      </c>
      <c r="EK27">
        <v>1659</v>
      </c>
      <c r="EL27" t="s">
        <v>20</v>
      </c>
      <c r="EM27" t="s">
        <v>21</v>
      </c>
      <c r="EO27" t="s">
        <v>3</v>
      </c>
      <c r="EQ27">
        <v>0</v>
      </c>
      <c r="ER27">
        <v>23.58</v>
      </c>
      <c r="ES27">
        <v>23.58</v>
      </c>
      <c r="ET27">
        <v>0</v>
      </c>
      <c r="EU27">
        <v>0</v>
      </c>
      <c r="EV27">
        <v>0</v>
      </c>
      <c r="EW27">
        <v>0</v>
      </c>
      <c r="EX27">
        <v>0</v>
      </c>
      <c r="FQ27">
        <v>0</v>
      </c>
      <c r="FR27">
        <f t="shared" si="40"/>
        <v>0</v>
      </c>
      <c r="FS27">
        <v>0</v>
      </c>
      <c r="FX27">
        <v>91</v>
      </c>
      <c r="FY27">
        <v>70</v>
      </c>
      <c r="GA27" t="s">
        <v>3</v>
      </c>
      <c r="GD27">
        <v>1</v>
      </c>
      <c r="GF27">
        <v>-706929149</v>
      </c>
      <c r="GG27">
        <v>2</v>
      </c>
      <c r="GH27">
        <v>1</v>
      </c>
      <c r="GI27">
        <v>2</v>
      </c>
      <c r="GJ27">
        <v>0</v>
      </c>
      <c r="GK27">
        <v>0</v>
      </c>
      <c r="GL27">
        <f t="shared" si="41"/>
        <v>0</v>
      </c>
      <c r="GM27">
        <f>ROUND(O27+X27+Y27,2)+GX27</f>
        <v>93974.2</v>
      </c>
      <c r="GN27">
        <f>IF(OR(BI27=0,BI27=1),ROUND(O27+X27+Y27,2),0)</f>
        <v>93974.2</v>
      </c>
      <c r="GO27">
        <f>IF(BI27=2,ROUND(O27+X27+Y27,2),0)</f>
        <v>0</v>
      </c>
      <c r="GP27">
        <f>IF(BI27=4,ROUND(O27+X27+Y27,2)+GX27,0)</f>
        <v>0</v>
      </c>
      <c r="GR27">
        <v>0</v>
      </c>
      <c r="GS27">
        <v>3</v>
      </c>
      <c r="GT27">
        <v>0</v>
      </c>
      <c r="GU27" t="s">
        <v>3</v>
      </c>
      <c r="GV27">
        <f t="shared" si="42"/>
        <v>0</v>
      </c>
      <c r="GW27">
        <v>1</v>
      </c>
      <c r="GX27">
        <f t="shared" si="43"/>
        <v>0</v>
      </c>
      <c r="HA27">
        <v>0</v>
      </c>
      <c r="HB27">
        <v>0</v>
      </c>
      <c r="HC27">
        <f t="shared" si="44"/>
        <v>0</v>
      </c>
      <c r="IK27">
        <v>0</v>
      </c>
    </row>
    <row r="28" spans="1:245" x14ac:dyDescent="0.2">
      <c r="A28">
        <v>18</v>
      </c>
      <c r="B28">
        <v>1</v>
      </c>
      <c r="C28">
        <v>15</v>
      </c>
      <c r="E28" t="s">
        <v>33</v>
      </c>
      <c r="F28" t="s">
        <v>34</v>
      </c>
      <c r="G28" t="s">
        <v>35</v>
      </c>
      <c r="H28" t="s">
        <v>36</v>
      </c>
      <c r="I28">
        <f>I24*J28</f>
        <v>893.98500000000001</v>
      </c>
      <c r="J28">
        <v>107</v>
      </c>
      <c r="O28">
        <f t="shared" si="14"/>
        <v>62337.04</v>
      </c>
      <c r="P28">
        <f t="shared" si="15"/>
        <v>62337.04</v>
      </c>
      <c r="Q28">
        <f t="shared" si="16"/>
        <v>0</v>
      </c>
      <c r="R28">
        <f t="shared" si="17"/>
        <v>0</v>
      </c>
      <c r="S28">
        <f t="shared" si="18"/>
        <v>0</v>
      </c>
      <c r="T28">
        <f t="shared" si="19"/>
        <v>0</v>
      </c>
      <c r="U28">
        <f t="shared" si="20"/>
        <v>0</v>
      </c>
      <c r="V28">
        <f t="shared" si="21"/>
        <v>0</v>
      </c>
      <c r="W28">
        <f t="shared" si="22"/>
        <v>0</v>
      </c>
      <c r="X28">
        <f t="shared" si="23"/>
        <v>0</v>
      </c>
      <c r="Y28">
        <f t="shared" si="24"/>
        <v>0</v>
      </c>
      <c r="AA28">
        <v>44962055</v>
      </c>
      <c r="AB28">
        <f t="shared" si="25"/>
        <v>41.26</v>
      </c>
      <c r="AC28">
        <f t="shared" si="26"/>
        <v>41.26</v>
      </c>
      <c r="AD28">
        <f t="shared" si="45"/>
        <v>0</v>
      </c>
      <c r="AE28">
        <f t="shared" si="45"/>
        <v>0</v>
      </c>
      <c r="AF28">
        <f t="shared" si="45"/>
        <v>0</v>
      </c>
      <c r="AG28">
        <f t="shared" si="27"/>
        <v>0</v>
      </c>
      <c r="AH28">
        <f t="shared" si="46"/>
        <v>0</v>
      </c>
      <c r="AI28">
        <f t="shared" si="46"/>
        <v>0</v>
      </c>
      <c r="AJ28">
        <f t="shared" si="28"/>
        <v>0</v>
      </c>
      <c r="AK28">
        <v>41.26</v>
      </c>
      <c r="AL28">
        <v>41.26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1.69</v>
      </c>
      <c r="BD28" t="s">
        <v>3</v>
      </c>
      <c r="BE28" t="s">
        <v>3</v>
      </c>
      <c r="BF28" t="s">
        <v>3</v>
      </c>
      <c r="BG28" t="s">
        <v>3</v>
      </c>
      <c r="BH28">
        <v>3</v>
      </c>
      <c r="BI28">
        <v>1</v>
      </c>
      <c r="BJ28" t="s">
        <v>37</v>
      </c>
      <c r="BM28">
        <v>1659</v>
      </c>
      <c r="BN28">
        <v>0</v>
      </c>
      <c r="BO28" t="s">
        <v>34</v>
      </c>
      <c r="BP28">
        <v>1</v>
      </c>
      <c r="BQ28">
        <v>30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0</v>
      </c>
      <c r="CA28">
        <v>0</v>
      </c>
      <c r="CE28">
        <v>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si="29"/>
        <v>62337.04</v>
      </c>
      <c r="CQ28">
        <f t="shared" si="30"/>
        <v>69.729399999999998</v>
      </c>
      <c r="CR28">
        <f t="shared" si="31"/>
        <v>0</v>
      </c>
      <c r="CS28">
        <f t="shared" si="32"/>
        <v>0</v>
      </c>
      <c r="CT28">
        <f t="shared" si="33"/>
        <v>0</v>
      </c>
      <c r="CU28">
        <f t="shared" si="34"/>
        <v>0</v>
      </c>
      <c r="CV28">
        <f t="shared" si="35"/>
        <v>0</v>
      </c>
      <c r="CW28">
        <f t="shared" si="36"/>
        <v>0</v>
      </c>
      <c r="CX28">
        <f t="shared" si="37"/>
        <v>0</v>
      </c>
      <c r="CY28">
        <f t="shared" si="38"/>
        <v>0</v>
      </c>
      <c r="CZ28">
        <f t="shared" si="39"/>
        <v>0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91</v>
      </c>
      <c r="DO28">
        <v>70</v>
      </c>
      <c r="DP28">
        <v>1.0469999999999999</v>
      </c>
      <c r="DQ28">
        <v>1</v>
      </c>
      <c r="DU28">
        <v>1005</v>
      </c>
      <c r="DV28" t="s">
        <v>36</v>
      </c>
      <c r="DW28" t="s">
        <v>36</v>
      </c>
      <c r="DX28">
        <v>1</v>
      </c>
      <c r="EE28">
        <v>41869107</v>
      </c>
      <c r="EF28">
        <v>30</v>
      </c>
      <c r="EG28" t="s">
        <v>19</v>
      </c>
      <c r="EH28">
        <v>0</v>
      </c>
      <c r="EI28" t="s">
        <v>3</v>
      </c>
      <c r="EJ28">
        <v>1</v>
      </c>
      <c r="EK28">
        <v>1659</v>
      </c>
      <c r="EL28" t="s">
        <v>20</v>
      </c>
      <c r="EM28" t="s">
        <v>21</v>
      </c>
      <c r="EO28" t="s">
        <v>3</v>
      </c>
      <c r="EQ28">
        <v>0</v>
      </c>
      <c r="ER28">
        <v>41.26</v>
      </c>
      <c r="ES28">
        <v>41.26</v>
      </c>
      <c r="ET28">
        <v>0</v>
      </c>
      <c r="EU28">
        <v>0</v>
      </c>
      <c r="EV28">
        <v>0</v>
      </c>
      <c r="EW28">
        <v>0</v>
      </c>
      <c r="EX28">
        <v>0</v>
      </c>
      <c r="FQ28">
        <v>0</v>
      </c>
      <c r="FR28">
        <f t="shared" si="40"/>
        <v>0</v>
      </c>
      <c r="FS28">
        <v>0</v>
      </c>
      <c r="FX28">
        <v>91</v>
      </c>
      <c r="FY28">
        <v>70</v>
      </c>
      <c r="GA28" t="s">
        <v>3</v>
      </c>
      <c r="GD28">
        <v>1</v>
      </c>
      <c r="GF28">
        <v>1366669529</v>
      </c>
      <c r="GG28">
        <v>2</v>
      </c>
      <c r="GH28">
        <v>1</v>
      </c>
      <c r="GI28">
        <v>2</v>
      </c>
      <c r="GJ28">
        <v>0</v>
      </c>
      <c r="GK28">
        <v>0</v>
      </c>
      <c r="GL28">
        <f t="shared" si="41"/>
        <v>0</v>
      </c>
      <c r="GM28">
        <f>ROUND(O28+X28+Y28,2)+GX28</f>
        <v>62337.04</v>
      </c>
      <c r="GN28">
        <f>IF(OR(BI28=0,BI28=1),ROUND(O28+X28+Y28,2),0)</f>
        <v>62337.04</v>
      </c>
      <c r="GO28">
        <f>IF(BI28=2,ROUND(O28+X28+Y28,2),0)</f>
        <v>0</v>
      </c>
      <c r="GP28">
        <f>IF(BI28=4,ROUND(O28+X28+Y28,2)+GX28,0)</f>
        <v>0</v>
      </c>
      <c r="GR28">
        <v>0</v>
      </c>
      <c r="GS28">
        <v>3</v>
      </c>
      <c r="GT28">
        <v>0</v>
      </c>
      <c r="GU28" t="s">
        <v>3</v>
      </c>
      <c r="GV28">
        <f t="shared" si="42"/>
        <v>0</v>
      </c>
      <c r="GW28">
        <v>1</v>
      </c>
      <c r="GX28">
        <f t="shared" si="43"/>
        <v>0</v>
      </c>
      <c r="HA28">
        <v>0</v>
      </c>
      <c r="HB28">
        <v>0</v>
      </c>
      <c r="HC28">
        <f t="shared" si="44"/>
        <v>0</v>
      </c>
      <c r="IK28">
        <v>0</v>
      </c>
    </row>
    <row r="29" spans="1:245" x14ac:dyDescent="0.2">
      <c r="A29">
        <v>18</v>
      </c>
      <c r="B29">
        <v>1</v>
      </c>
      <c r="C29">
        <v>10</v>
      </c>
      <c r="E29" t="s">
        <v>38</v>
      </c>
      <c r="F29" t="s">
        <v>39</v>
      </c>
      <c r="G29" t="s">
        <v>40</v>
      </c>
      <c r="H29" t="s">
        <v>26</v>
      </c>
      <c r="I29">
        <f>I24*J29</f>
        <v>584.85</v>
      </c>
      <c r="J29">
        <v>70</v>
      </c>
      <c r="O29">
        <f t="shared" si="14"/>
        <v>1447.04</v>
      </c>
      <c r="P29">
        <f t="shared" si="15"/>
        <v>1447.04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44962055</v>
      </c>
      <c r="AB29">
        <f t="shared" si="25"/>
        <v>0.89</v>
      </c>
      <c r="AC29">
        <f t="shared" si="26"/>
        <v>0.89</v>
      </c>
      <c r="AD29">
        <f t="shared" si="45"/>
        <v>0</v>
      </c>
      <c r="AE29">
        <f t="shared" si="45"/>
        <v>0</v>
      </c>
      <c r="AF29">
        <f t="shared" si="45"/>
        <v>0</v>
      </c>
      <c r="AG29">
        <f t="shared" si="27"/>
        <v>0</v>
      </c>
      <c r="AH29">
        <f t="shared" si="46"/>
        <v>0</v>
      </c>
      <c r="AI29">
        <f t="shared" si="46"/>
        <v>0</v>
      </c>
      <c r="AJ29">
        <f t="shared" si="28"/>
        <v>0</v>
      </c>
      <c r="AK29">
        <v>0.89</v>
      </c>
      <c r="AL29">
        <v>0.89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2.78</v>
      </c>
      <c r="BD29" t="s">
        <v>3</v>
      </c>
      <c r="BE29" t="s">
        <v>3</v>
      </c>
      <c r="BF29" t="s">
        <v>3</v>
      </c>
      <c r="BG29" t="s">
        <v>3</v>
      </c>
      <c r="BH29">
        <v>3</v>
      </c>
      <c r="BI29">
        <v>1</v>
      </c>
      <c r="BJ29" t="s">
        <v>41</v>
      </c>
      <c r="BM29">
        <v>1659</v>
      </c>
      <c r="BN29">
        <v>0</v>
      </c>
      <c r="BO29" t="s">
        <v>39</v>
      </c>
      <c r="BP29">
        <v>1</v>
      </c>
      <c r="BQ29">
        <v>30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0</v>
      </c>
      <c r="CA29">
        <v>0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29"/>
        <v>1447.04</v>
      </c>
      <c r="CQ29">
        <f t="shared" si="30"/>
        <v>2.4741999999999997</v>
      </c>
      <c r="CR29">
        <f t="shared" si="31"/>
        <v>0</v>
      </c>
      <c r="CS29">
        <f t="shared" si="32"/>
        <v>0</v>
      </c>
      <c r="CT29">
        <f t="shared" si="33"/>
        <v>0</v>
      </c>
      <c r="CU29">
        <f t="shared" si="34"/>
        <v>0</v>
      </c>
      <c r="CV29">
        <f t="shared" si="35"/>
        <v>0</v>
      </c>
      <c r="CW29">
        <f t="shared" si="36"/>
        <v>0</v>
      </c>
      <c r="CX29">
        <f t="shared" si="37"/>
        <v>0</v>
      </c>
      <c r="CY29">
        <f t="shared" si="38"/>
        <v>0</v>
      </c>
      <c r="CZ29">
        <f t="shared" si="39"/>
        <v>0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91</v>
      </c>
      <c r="DO29">
        <v>70</v>
      </c>
      <c r="DP29">
        <v>1.0469999999999999</v>
      </c>
      <c r="DQ29">
        <v>1</v>
      </c>
      <c r="DU29">
        <v>1003</v>
      </c>
      <c r="DV29" t="s">
        <v>26</v>
      </c>
      <c r="DW29" t="s">
        <v>26</v>
      </c>
      <c r="DX29">
        <v>1</v>
      </c>
      <c r="EE29">
        <v>41869107</v>
      </c>
      <c r="EF29">
        <v>30</v>
      </c>
      <c r="EG29" t="s">
        <v>19</v>
      </c>
      <c r="EH29">
        <v>0</v>
      </c>
      <c r="EI29" t="s">
        <v>3</v>
      </c>
      <c r="EJ29">
        <v>1</v>
      </c>
      <c r="EK29">
        <v>1659</v>
      </c>
      <c r="EL29" t="s">
        <v>20</v>
      </c>
      <c r="EM29" t="s">
        <v>21</v>
      </c>
      <c r="EO29" t="s">
        <v>3</v>
      </c>
      <c r="EQ29">
        <v>0</v>
      </c>
      <c r="ER29">
        <v>0.89</v>
      </c>
      <c r="ES29">
        <v>0.89</v>
      </c>
      <c r="ET29">
        <v>0</v>
      </c>
      <c r="EU29">
        <v>0</v>
      </c>
      <c r="EV29">
        <v>0</v>
      </c>
      <c r="EW29">
        <v>0</v>
      </c>
      <c r="EX29">
        <v>0</v>
      </c>
      <c r="FQ29">
        <v>0</v>
      </c>
      <c r="FR29">
        <f t="shared" si="40"/>
        <v>0</v>
      </c>
      <c r="FS29">
        <v>0</v>
      </c>
      <c r="FX29">
        <v>91</v>
      </c>
      <c r="FY29">
        <v>70</v>
      </c>
      <c r="GA29" t="s">
        <v>3</v>
      </c>
      <c r="GD29">
        <v>1</v>
      </c>
      <c r="GF29">
        <v>1854175844</v>
      </c>
      <c r="GG29">
        <v>2</v>
      </c>
      <c r="GH29">
        <v>1</v>
      </c>
      <c r="GI29">
        <v>2</v>
      </c>
      <c r="GJ29">
        <v>0</v>
      </c>
      <c r="GK29">
        <v>0</v>
      </c>
      <c r="GL29">
        <f t="shared" si="41"/>
        <v>0</v>
      </c>
      <c r="GM29">
        <f>ROUND(O29+X29+Y29,2)+GX29</f>
        <v>1447.04</v>
      </c>
      <c r="GN29">
        <f>IF(OR(BI29=0,BI29=1),ROUND(O29+X29+Y29,2),0)</f>
        <v>1447.04</v>
      </c>
      <c r="GO29">
        <f>IF(BI29=2,ROUND(O29+X29+Y29,2),0)</f>
        <v>0</v>
      </c>
      <c r="GP29">
        <f>IF(BI29=4,ROUND(O29+X29+Y29,2)+GX29,0)</f>
        <v>0</v>
      </c>
      <c r="GR29">
        <v>0</v>
      </c>
      <c r="GS29">
        <v>3</v>
      </c>
      <c r="GT29">
        <v>0</v>
      </c>
      <c r="GU29" t="s">
        <v>3</v>
      </c>
      <c r="GV29">
        <f t="shared" si="42"/>
        <v>0</v>
      </c>
      <c r="GW29">
        <v>1</v>
      </c>
      <c r="GX29">
        <f t="shared" si="43"/>
        <v>0</v>
      </c>
      <c r="HA29">
        <v>0</v>
      </c>
      <c r="HB29">
        <v>0</v>
      </c>
      <c r="HC29">
        <f t="shared" si="44"/>
        <v>0</v>
      </c>
      <c r="IK29">
        <v>0</v>
      </c>
    </row>
    <row r="30" spans="1:245" x14ac:dyDescent="0.2">
      <c r="A30">
        <v>17</v>
      </c>
      <c r="B30">
        <v>1</v>
      </c>
      <c r="C30">
        <f>ROW(SmtRes!A31)</f>
        <v>31</v>
      </c>
      <c r="D30">
        <f>ROW(EtalonRes!A29)</f>
        <v>29</v>
      </c>
      <c r="E30" t="s">
        <v>42</v>
      </c>
      <c r="F30" t="s">
        <v>43</v>
      </c>
      <c r="G30" t="s">
        <v>44</v>
      </c>
      <c r="H30" t="s">
        <v>14</v>
      </c>
      <c r="I30">
        <f>ROUND(835.5/100,9)</f>
        <v>8.3550000000000004</v>
      </c>
      <c r="J30">
        <v>0</v>
      </c>
      <c r="O30">
        <f t="shared" si="14"/>
        <v>60043.01</v>
      </c>
      <c r="P30">
        <f t="shared" si="15"/>
        <v>3646.79</v>
      </c>
      <c r="Q30">
        <f t="shared" si="16"/>
        <v>378.91</v>
      </c>
      <c r="R30">
        <f t="shared" si="17"/>
        <v>69.88</v>
      </c>
      <c r="S30">
        <f t="shared" si="18"/>
        <v>56017.31</v>
      </c>
      <c r="T30">
        <f t="shared" si="19"/>
        <v>0</v>
      </c>
      <c r="U30">
        <f t="shared" si="20"/>
        <v>233.60538224999993</v>
      </c>
      <c r="V30">
        <f t="shared" si="21"/>
        <v>0</v>
      </c>
      <c r="W30">
        <f t="shared" si="22"/>
        <v>0</v>
      </c>
      <c r="X30">
        <f t="shared" si="23"/>
        <v>45374.02</v>
      </c>
      <c r="Y30">
        <f t="shared" si="24"/>
        <v>22967.1</v>
      </c>
      <c r="AA30">
        <v>44962055</v>
      </c>
      <c r="AB30">
        <f t="shared" si="25"/>
        <v>591.12049999999999</v>
      </c>
      <c r="AC30">
        <f t="shared" si="26"/>
        <v>262.94</v>
      </c>
      <c r="AD30">
        <f>ROUND(((ET30*1.25)),6)</f>
        <v>7.5374999999999996</v>
      </c>
      <c r="AE30">
        <f>ROUND(((EU30*1.25)),6)</f>
        <v>0.4</v>
      </c>
      <c r="AF30">
        <f>ROUND(((EV30*1.15)),6)</f>
        <v>320.64299999999997</v>
      </c>
      <c r="AG30">
        <f t="shared" si="27"/>
        <v>0</v>
      </c>
      <c r="AH30">
        <f>((EW30*1.15))</f>
        <v>27.277999999999995</v>
      </c>
      <c r="AI30">
        <f>((EX30*1.25))</f>
        <v>0</v>
      </c>
      <c r="AJ30">
        <f t="shared" si="28"/>
        <v>0</v>
      </c>
      <c r="AK30">
        <v>547.79</v>
      </c>
      <c r="AL30">
        <v>262.94</v>
      </c>
      <c r="AM30">
        <v>6.03</v>
      </c>
      <c r="AN30">
        <v>0.32</v>
      </c>
      <c r="AO30">
        <v>278.82</v>
      </c>
      <c r="AP30">
        <v>0</v>
      </c>
      <c r="AQ30">
        <v>23.72</v>
      </c>
      <c r="AR30">
        <v>0</v>
      </c>
      <c r="AS30">
        <v>0</v>
      </c>
      <c r="AT30">
        <v>81</v>
      </c>
      <c r="AU30">
        <v>41</v>
      </c>
      <c r="AV30">
        <v>1.0249999999999999</v>
      </c>
      <c r="AW30">
        <v>1</v>
      </c>
      <c r="AZ30">
        <v>1</v>
      </c>
      <c r="BA30">
        <v>20.399999999999999</v>
      </c>
      <c r="BB30">
        <v>5.87</v>
      </c>
      <c r="BC30">
        <v>1.66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45</v>
      </c>
      <c r="BM30">
        <v>1531</v>
      </c>
      <c r="BN30">
        <v>0</v>
      </c>
      <c r="BO30" t="s">
        <v>43</v>
      </c>
      <c r="BP30">
        <v>1</v>
      </c>
      <c r="BQ30">
        <v>30</v>
      </c>
      <c r="BR30">
        <v>0</v>
      </c>
      <c r="BS30">
        <v>20.399999999999999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81</v>
      </c>
      <c r="CA30">
        <v>41</v>
      </c>
      <c r="CE30">
        <v>0</v>
      </c>
      <c r="CF30">
        <v>0</v>
      </c>
      <c r="CG30">
        <v>0</v>
      </c>
      <c r="CM30">
        <v>0</v>
      </c>
      <c r="CN30" t="s">
        <v>16</v>
      </c>
      <c r="CO30">
        <v>0</v>
      </c>
      <c r="CP30">
        <f t="shared" si="29"/>
        <v>60043.009999999995</v>
      </c>
      <c r="CQ30">
        <f t="shared" si="30"/>
        <v>436.48039999999997</v>
      </c>
      <c r="CR30">
        <f t="shared" si="31"/>
        <v>45.351253124999999</v>
      </c>
      <c r="CS30">
        <f t="shared" si="32"/>
        <v>8.363999999999999</v>
      </c>
      <c r="CT30">
        <f t="shared" si="33"/>
        <v>6704.6451299999981</v>
      </c>
      <c r="CU30">
        <f t="shared" si="34"/>
        <v>0</v>
      </c>
      <c r="CV30">
        <f t="shared" si="35"/>
        <v>27.959949999999992</v>
      </c>
      <c r="CW30">
        <f t="shared" si="36"/>
        <v>0</v>
      </c>
      <c r="CX30">
        <f t="shared" si="37"/>
        <v>0</v>
      </c>
      <c r="CY30">
        <f t="shared" si="38"/>
        <v>45374.021099999998</v>
      </c>
      <c r="CZ30">
        <f t="shared" si="39"/>
        <v>22967.097099999999</v>
      </c>
      <c r="DC30" t="s">
        <v>3</v>
      </c>
      <c r="DD30" t="s">
        <v>3</v>
      </c>
      <c r="DE30" t="s">
        <v>17</v>
      </c>
      <c r="DF30" t="s">
        <v>17</v>
      </c>
      <c r="DG30" t="s">
        <v>18</v>
      </c>
      <c r="DH30" t="s">
        <v>3</v>
      </c>
      <c r="DI30" t="s">
        <v>18</v>
      </c>
      <c r="DJ30" t="s">
        <v>17</v>
      </c>
      <c r="DK30" t="s">
        <v>3</v>
      </c>
      <c r="DL30" t="s">
        <v>3</v>
      </c>
      <c r="DM30" t="s">
        <v>3</v>
      </c>
      <c r="DN30">
        <v>100</v>
      </c>
      <c r="DO30">
        <v>64</v>
      </c>
      <c r="DP30">
        <v>1</v>
      </c>
      <c r="DQ30">
        <v>1.0029999999999999</v>
      </c>
      <c r="DU30">
        <v>1005</v>
      </c>
      <c r="DV30" t="s">
        <v>14</v>
      </c>
      <c r="DW30" t="s">
        <v>14</v>
      </c>
      <c r="DX30">
        <v>100</v>
      </c>
      <c r="EE30">
        <v>41868979</v>
      </c>
      <c r="EF30">
        <v>30</v>
      </c>
      <c r="EG30" t="s">
        <v>19</v>
      </c>
      <c r="EH30">
        <v>0</v>
      </c>
      <c r="EI30" t="s">
        <v>3</v>
      </c>
      <c r="EJ30">
        <v>1</v>
      </c>
      <c r="EK30">
        <v>1531</v>
      </c>
      <c r="EL30" t="s">
        <v>46</v>
      </c>
      <c r="EM30" t="s">
        <v>47</v>
      </c>
      <c r="EO30" t="s">
        <v>22</v>
      </c>
      <c r="EQ30">
        <v>0</v>
      </c>
      <c r="ER30">
        <v>547.79</v>
      </c>
      <c r="ES30">
        <v>262.94</v>
      </c>
      <c r="ET30">
        <v>6.03</v>
      </c>
      <c r="EU30">
        <v>0.32</v>
      </c>
      <c r="EV30">
        <v>278.82</v>
      </c>
      <c r="EW30">
        <v>23.72</v>
      </c>
      <c r="EX30">
        <v>0</v>
      </c>
      <c r="EY30">
        <v>0</v>
      </c>
      <c r="FQ30">
        <v>0</v>
      </c>
      <c r="FR30">
        <f t="shared" si="40"/>
        <v>0</v>
      </c>
      <c r="FS30">
        <v>0</v>
      </c>
      <c r="FX30">
        <v>100</v>
      </c>
      <c r="FY30">
        <v>64</v>
      </c>
      <c r="GA30" t="s">
        <v>3</v>
      </c>
      <c r="GD30">
        <v>0</v>
      </c>
      <c r="GF30">
        <v>1332951019</v>
      </c>
      <c r="GG30">
        <v>2</v>
      </c>
      <c r="GH30">
        <v>1</v>
      </c>
      <c r="GI30">
        <v>2</v>
      </c>
      <c r="GJ30">
        <v>0</v>
      </c>
      <c r="GK30">
        <f>ROUND(R30*(R12)/100,2)</f>
        <v>109.71</v>
      </c>
      <c r="GL30">
        <f t="shared" si="41"/>
        <v>0</v>
      </c>
      <c r="GM30">
        <f>ROUND(O30+X30+Y30+GK30,2)+GX30</f>
        <v>128493.84</v>
      </c>
      <c r="GN30">
        <f>IF(OR(BI30=0,BI30=1),ROUND(O30+X30+Y30+GK30,2),0)</f>
        <v>128493.84</v>
      </c>
      <c r="GO30">
        <f>IF(BI30=2,ROUND(O30+X30+Y30+GK30,2),0)</f>
        <v>0</v>
      </c>
      <c r="GP30">
        <f>IF(BI30=4,ROUND(O30+X30+Y30+GK30,2)+GX30,0)</f>
        <v>0</v>
      </c>
      <c r="GR30">
        <v>0</v>
      </c>
      <c r="GS30">
        <v>3</v>
      </c>
      <c r="GT30">
        <v>0</v>
      </c>
      <c r="GU30" t="s">
        <v>3</v>
      </c>
      <c r="GV30">
        <f t="shared" si="42"/>
        <v>0</v>
      </c>
      <c r="GW30">
        <v>1</v>
      </c>
      <c r="GX30">
        <f t="shared" si="43"/>
        <v>0</v>
      </c>
      <c r="HA30">
        <v>0</v>
      </c>
      <c r="HB30">
        <v>0</v>
      </c>
      <c r="HC30">
        <f t="shared" si="44"/>
        <v>0</v>
      </c>
      <c r="IK30">
        <v>0</v>
      </c>
    </row>
    <row r="31" spans="1:245" x14ac:dyDescent="0.2">
      <c r="A31">
        <v>18</v>
      </c>
      <c r="B31">
        <v>1</v>
      </c>
      <c r="C31">
        <v>31</v>
      </c>
      <c r="E31" t="s">
        <v>48</v>
      </c>
      <c r="F31" t="s">
        <v>49</v>
      </c>
      <c r="G31" t="s">
        <v>50</v>
      </c>
      <c r="H31" t="s">
        <v>26</v>
      </c>
      <c r="I31">
        <f>I30*J31</f>
        <v>803.00000000000011</v>
      </c>
      <c r="J31">
        <v>96.110113704368644</v>
      </c>
      <c r="O31">
        <f t="shared" si="14"/>
        <v>10406.879999999999</v>
      </c>
      <c r="P31">
        <f t="shared" si="15"/>
        <v>10406.879999999999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44962055</v>
      </c>
      <c r="AB31">
        <f t="shared" si="25"/>
        <v>4.5</v>
      </c>
      <c r="AC31">
        <f t="shared" si="26"/>
        <v>4.5</v>
      </c>
      <c r="AD31">
        <f t="shared" ref="AD31:AF32" si="47">ROUND((ET31),6)</f>
        <v>0</v>
      </c>
      <c r="AE31">
        <f t="shared" si="47"/>
        <v>0</v>
      </c>
      <c r="AF31">
        <f t="shared" si="47"/>
        <v>0</v>
      </c>
      <c r="AG31">
        <f t="shared" si="27"/>
        <v>0</v>
      </c>
      <c r="AH31">
        <f>(EW31)</f>
        <v>0</v>
      </c>
      <c r="AI31">
        <f>(EX31)</f>
        <v>0</v>
      </c>
      <c r="AJ31">
        <f t="shared" si="28"/>
        <v>0</v>
      </c>
      <c r="AK31">
        <v>4.5</v>
      </c>
      <c r="AL31">
        <v>4.5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2.88</v>
      </c>
      <c r="BD31" t="s">
        <v>3</v>
      </c>
      <c r="BE31" t="s">
        <v>3</v>
      </c>
      <c r="BF31" t="s">
        <v>3</v>
      </c>
      <c r="BG31" t="s">
        <v>3</v>
      </c>
      <c r="BH31">
        <v>3</v>
      </c>
      <c r="BI31">
        <v>1</v>
      </c>
      <c r="BJ31" t="s">
        <v>51</v>
      </c>
      <c r="BM31">
        <v>1531</v>
      </c>
      <c r="BN31">
        <v>0</v>
      </c>
      <c r="BO31" t="s">
        <v>49</v>
      </c>
      <c r="BP31">
        <v>1</v>
      </c>
      <c r="BQ31">
        <v>30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0</v>
      </c>
      <c r="CA31">
        <v>0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9"/>
        <v>10406.879999999999</v>
      </c>
      <c r="CQ31">
        <f t="shared" si="30"/>
        <v>12.959999999999999</v>
      </c>
      <c r="CR31">
        <f t="shared" si="31"/>
        <v>0</v>
      </c>
      <c r="CS31">
        <f t="shared" si="32"/>
        <v>0</v>
      </c>
      <c r="CT31">
        <f t="shared" si="33"/>
        <v>0</v>
      </c>
      <c r="CU31">
        <f t="shared" si="34"/>
        <v>0</v>
      </c>
      <c r="CV31">
        <f t="shared" si="35"/>
        <v>0</v>
      </c>
      <c r="CW31">
        <f t="shared" si="36"/>
        <v>0</v>
      </c>
      <c r="CX31">
        <f t="shared" si="37"/>
        <v>0</v>
      </c>
      <c r="CY31">
        <f t="shared" si="38"/>
        <v>0</v>
      </c>
      <c r="CZ31">
        <f t="shared" si="39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100</v>
      </c>
      <c r="DO31">
        <v>64</v>
      </c>
      <c r="DP31">
        <v>1</v>
      </c>
      <c r="DQ31">
        <v>1.0029999999999999</v>
      </c>
      <c r="DU31">
        <v>1003</v>
      </c>
      <c r="DV31" t="s">
        <v>26</v>
      </c>
      <c r="DW31" t="s">
        <v>26</v>
      </c>
      <c r="DX31">
        <v>1</v>
      </c>
      <c r="EE31">
        <v>41868979</v>
      </c>
      <c r="EF31">
        <v>30</v>
      </c>
      <c r="EG31" t="s">
        <v>19</v>
      </c>
      <c r="EH31">
        <v>0</v>
      </c>
      <c r="EI31" t="s">
        <v>3</v>
      </c>
      <c r="EJ31">
        <v>1</v>
      </c>
      <c r="EK31">
        <v>1531</v>
      </c>
      <c r="EL31" t="s">
        <v>46</v>
      </c>
      <c r="EM31" t="s">
        <v>47</v>
      </c>
      <c r="EO31" t="s">
        <v>3</v>
      </c>
      <c r="EQ31">
        <v>0</v>
      </c>
      <c r="ER31">
        <v>4.5</v>
      </c>
      <c r="ES31">
        <v>4.5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40"/>
        <v>0</v>
      </c>
      <c r="FS31">
        <v>0</v>
      </c>
      <c r="FX31">
        <v>100</v>
      </c>
      <c r="FY31">
        <v>64</v>
      </c>
      <c r="GA31" t="s">
        <v>3</v>
      </c>
      <c r="GD31">
        <v>1</v>
      </c>
      <c r="GF31">
        <v>2109513808</v>
      </c>
      <c r="GG31">
        <v>2</v>
      </c>
      <c r="GH31">
        <v>1</v>
      </c>
      <c r="GI31">
        <v>2</v>
      </c>
      <c r="GJ31">
        <v>0</v>
      </c>
      <c r="GK31">
        <v>0</v>
      </c>
      <c r="GL31">
        <f t="shared" si="41"/>
        <v>0</v>
      </c>
      <c r="GM31">
        <f>ROUND(O31+X31+Y31,2)+GX31</f>
        <v>10406.879999999999</v>
      </c>
      <c r="GN31">
        <f>IF(OR(BI31=0,BI31=1),ROUND(O31+X31+Y31,2),0)</f>
        <v>10406.879999999999</v>
      </c>
      <c r="GO31">
        <f>IF(BI31=2,ROUND(O31+X31+Y31,2),0)</f>
        <v>0</v>
      </c>
      <c r="GP31">
        <f>IF(BI31=4,ROUND(O31+X31+Y31,2)+GX31,0)</f>
        <v>0</v>
      </c>
      <c r="GR31">
        <v>0</v>
      </c>
      <c r="GS31">
        <v>3</v>
      </c>
      <c r="GT31">
        <v>0</v>
      </c>
      <c r="GU31" t="s">
        <v>3</v>
      </c>
      <c r="GV31">
        <f t="shared" si="42"/>
        <v>0</v>
      </c>
      <c r="GW31">
        <v>1</v>
      </c>
      <c r="GX31">
        <f t="shared" si="43"/>
        <v>0</v>
      </c>
      <c r="HA31">
        <v>0</v>
      </c>
      <c r="HB31">
        <v>0</v>
      </c>
      <c r="HC31">
        <f t="shared" si="44"/>
        <v>0</v>
      </c>
      <c r="IK31">
        <v>0</v>
      </c>
    </row>
    <row r="32" spans="1:245" x14ac:dyDescent="0.2">
      <c r="A32">
        <v>18</v>
      </c>
      <c r="B32">
        <v>1</v>
      </c>
      <c r="C32">
        <v>29</v>
      </c>
      <c r="E32" t="s">
        <v>52</v>
      </c>
      <c r="F32" t="s">
        <v>53</v>
      </c>
      <c r="G32" t="s">
        <v>54</v>
      </c>
      <c r="H32" t="s">
        <v>55</v>
      </c>
      <c r="I32">
        <f>I30*J32</f>
        <v>650.85450000000003</v>
      </c>
      <c r="J32">
        <v>77.900000000000006</v>
      </c>
      <c r="O32">
        <f t="shared" si="14"/>
        <v>13004.07</v>
      </c>
      <c r="P32">
        <f t="shared" si="15"/>
        <v>13004.07</v>
      </c>
      <c r="Q32">
        <f t="shared" si="16"/>
        <v>0</v>
      </c>
      <c r="R32">
        <f t="shared" si="17"/>
        <v>0</v>
      </c>
      <c r="S32">
        <f t="shared" si="18"/>
        <v>0</v>
      </c>
      <c r="T32">
        <f t="shared" si="19"/>
        <v>0</v>
      </c>
      <c r="U32">
        <f t="shared" si="20"/>
        <v>0</v>
      </c>
      <c r="V32">
        <f t="shared" si="21"/>
        <v>0</v>
      </c>
      <c r="W32">
        <f t="shared" si="22"/>
        <v>0</v>
      </c>
      <c r="X32">
        <f t="shared" si="23"/>
        <v>0</v>
      </c>
      <c r="Y32">
        <f t="shared" si="24"/>
        <v>0</v>
      </c>
      <c r="AA32">
        <v>44962055</v>
      </c>
      <c r="AB32">
        <f t="shared" si="25"/>
        <v>8.8800000000000008</v>
      </c>
      <c r="AC32">
        <f t="shared" si="26"/>
        <v>8.8800000000000008</v>
      </c>
      <c r="AD32">
        <f t="shared" si="47"/>
        <v>0</v>
      </c>
      <c r="AE32">
        <f t="shared" si="47"/>
        <v>0</v>
      </c>
      <c r="AF32">
        <f t="shared" si="47"/>
        <v>0</v>
      </c>
      <c r="AG32">
        <f t="shared" si="27"/>
        <v>0</v>
      </c>
      <c r="AH32">
        <f>(EW32)</f>
        <v>0</v>
      </c>
      <c r="AI32">
        <f>(EX32)</f>
        <v>0</v>
      </c>
      <c r="AJ32">
        <f t="shared" si="28"/>
        <v>0</v>
      </c>
      <c r="AK32">
        <v>8.8800000000000008</v>
      </c>
      <c r="AL32">
        <v>8.8800000000000008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2.25</v>
      </c>
      <c r="BD32" t="s">
        <v>3</v>
      </c>
      <c r="BE32" t="s">
        <v>3</v>
      </c>
      <c r="BF32" t="s">
        <v>3</v>
      </c>
      <c r="BG32" t="s">
        <v>3</v>
      </c>
      <c r="BH32">
        <v>3</v>
      </c>
      <c r="BI32">
        <v>1</v>
      </c>
      <c r="BJ32" t="s">
        <v>56</v>
      </c>
      <c r="BM32">
        <v>1531</v>
      </c>
      <c r="BN32">
        <v>0</v>
      </c>
      <c r="BO32" t="s">
        <v>53</v>
      </c>
      <c r="BP32">
        <v>1</v>
      </c>
      <c r="BQ32">
        <v>30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0</v>
      </c>
      <c r="CA32">
        <v>0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29"/>
        <v>13004.07</v>
      </c>
      <c r="CQ32">
        <f t="shared" si="30"/>
        <v>19.98</v>
      </c>
      <c r="CR32">
        <f t="shared" si="31"/>
        <v>0</v>
      </c>
      <c r="CS32">
        <f t="shared" si="32"/>
        <v>0</v>
      </c>
      <c r="CT32">
        <f t="shared" si="33"/>
        <v>0</v>
      </c>
      <c r="CU32">
        <f t="shared" si="34"/>
        <v>0</v>
      </c>
      <c r="CV32">
        <f t="shared" si="35"/>
        <v>0</v>
      </c>
      <c r="CW32">
        <f t="shared" si="36"/>
        <v>0</v>
      </c>
      <c r="CX32">
        <f t="shared" si="37"/>
        <v>0</v>
      </c>
      <c r="CY32">
        <f t="shared" si="38"/>
        <v>0</v>
      </c>
      <c r="CZ32">
        <f t="shared" si="39"/>
        <v>0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100</v>
      </c>
      <c r="DO32">
        <v>64</v>
      </c>
      <c r="DP32">
        <v>1</v>
      </c>
      <c r="DQ32">
        <v>1.0029999999999999</v>
      </c>
      <c r="DU32">
        <v>1009</v>
      </c>
      <c r="DV32" t="s">
        <v>55</v>
      </c>
      <c r="DW32" t="s">
        <v>55</v>
      </c>
      <c r="DX32">
        <v>1</v>
      </c>
      <c r="EE32">
        <v>41868979</v>
      </c>
      <c r="EF32">
        <v>30</v>
      </c>
      <c r="EG32" t="s">
        <v>19</v>
      </c>
      <c r="EH32">
        <v>0</v>
      </c>
      <c r="EI32" t="s">
        <v>3</v>
      </c>
      <c r="EJ32">
        <v>1</v>
      </c>
      <c r="EK32">
        <v>1531</v>
      </c>
      <c r="EL32" t="s">
        <v>46</v>
      </c>
      <c r="EM32" t="s">
        <v>47</v>
      </c>
      <c r="EO32" t="s">
        <v>3</v>
      </c>
      <c r="EQ32">
        <v>0</v>
      </c>
      <c r="ER32">
        <v>8.8800000000000008</v>
      </c>
      <c r="ES32">
        <v>8.8800000000000008</v>
      </c>
      <c r="ET32">
        <v>0</v>
      </c>
      <c r="EU32">
        <v>0</v>
      </c>
      <c r="EV32">
        <v>0</v>
      </c>
      <c r="EW32">
        <v>0</v>
      </c>
      <c r="EX32">
        <v>0</v>
      </c>
      <c r="FQ32">
        <v>0</v>
      </c>
      <c r="FR32">
        <f t="shared" si="40"/>
        <v>0</v>
      </c>
      <c r="FS32">
        <v>0</v>
      </c>
      <c r="FX32">
        <v>100</v>
      </c>
      <c r="FY32">
        <v>64</v>
      </c>
      <c r="GA32" t="s">
        <v>3</v>
      </c>
      <c r="GD32">
        <v>1</v>
      </c>
      <c r="GF32">
        <v>1666916737</v>
      </c>
      <c r="GG32">
        <v>2</v>
      </c>
      <c r="GH32">
        <v>1</v>
      </c>
      <c r="GI32">
        <v>2</v>
      </c>
      <c r="GJ32">
        <v>0</v>
      </c>
      <c r="GK32">
        <v>0</v>
      </c>
      <c r="GL32">
        <f t="shared" si="41"/>
        <v>0</v>
      </c>
      <c r="GM32">
        <f>ROUND(O32+X32+Y32,2)+GX32</f>
        <v>13004.07</v>
      </c>
      <c r="GN32">
        <f>IF(OR(BI32=0,BI32=1),ROUND(O32+X32+Y32,2),0)</f>
        <v>13004.07</v>
      </c>
      <c r="GO32">
        <f>IF(BI32=2,ROUND(O32+X32+Y32,2),0)</f>
        <v>0</v>
      </c>
      <c r="GP32">
        <f>IF(BI32=4,ROUND(O32+X32+Y32,2)+GX32,0)</f>
        <v>0</v>
      </c>
      <c r="GR32">
        <v>0</v>
      </c>
      <c r="GS32">
        <v>3</v>
      </c>
      <c r="GT32">
        <v>0</v>
      </c>
      <c r="GU32" t="s">
        <v>3</v>
      </c>
      <c r="GV32">
        <f t="shared" si="42"/>
        <v>0</v>
      </c>
      <c r="GW32">
        <v>1</v>
      </c>
      <c r="GX32">
        <f t="shared" si="43"/>
        <v>0</v>
      </c>
      <c r="HA32">
        <v>0</v>
      </c>
      <c r="HB32">
        <v>0</v>
      </c>
      <c r="HC32">
        <f t="shared" si="44"/>
        <v>0</v>
      </c>
      <c r="IK32">
        <v>0</v>
      </c>
    </row>
    <row r="33" spans="1:245" x14ac:dyDescent="0.2">
      <c r="A33">
        <v>17</v>
      </c>
      <c r="B33">
        <v>1</v>
      </c>
      <c r="C33">
        <f>ROW(SmtRes!A35)</f>
        <v>35</v>
      </c>
      <c r="D33">
        <f>ROW(EtalonRes!A33)</f>
        <v>33</v>
      </c>
      <c r="E33" t="s">
        <v>57</v>
      </c>
      <c r="F33" t="s">
        <v>58</v>
      </c>
      <c r="G33" t="s">
        <v>59</v>
      </c>
      <c r="H33" t="s">
        <v>14</v>
      </c>
      <c r="I33">
        <f>ROUND(835.5/100,9)</f>
        <v>8.3550000000000004</v>
      </c>
      <c r="J33">
        <v>0</v>
      </c>
      <c r="O33">
        <f t="shared" si="14"/>
        <v>10511.69</v>
      </c>
      <c r="P33">
        <f t="shared" si="15"/>
        <v>0</v>
      </c>
      <c r="Q33">
        <f t="shared" si="16"/>
        <v>68.47</v>
      </c>
      <c r="R33">
        <f t="shared" si="17"/>
        <v>30.57</v>
      </c>
      <c r="S33">
        <f t="shared" si="18"/>
        <v>10443.219999999999</v>
      </c>
      <c r="T33">
        <f t="shared" si="19"/>
        <v>0</v>
      </c>
      <c r="U33">
        <f t="shared" si="20"/>
        <v>45.7953215625</v>
      </c>
      <c r="V33">
        <f t="shared" si="21"/>
        <v>0</v>
      </c>
      <c r="W33">
        <f t="shared" si="22"/>
        <v>0</v>
      </c>
      <c r="X33">
        <f t="shared" si="23"/>
        <v>8459.01</v>
      </c>
      <c r="Y33">
        <f t="shared" si="24"/>
        <v>4281.72</v>
      </c>
      <c r="AA33">
        <v>44962055</v>
      </c>
      <c r="AB33">
        <f t="shared" si="25"/>
        <v>60.802</v>
      </c>
      <c r="AC33">
        <f t="shared" si="26"/>
        <v>0</v>
      </c>
      <c r="AD33">
        <f>ROUND(((ET33*1.25)),6)</f>
        <v>1.0249999999999999</v>
      </c>
      <c r="AE33">
        <f>ROUND(((EU33*1.25)),6)</f>
        <v>0.17499999999999999</v>
      </c>
      <c r="AF33">
        <f>ROUND(((EV33*1.15)),6)</f>
        <v>59.777000000000001</v>
      </c>
      <c r="AG33">
        <f t="shared" si="27"/>
        <v>0</v>
      </c>
      <c r="AH33">
        <f>((EW33*1.15))</f>
        <v>5.3475000000000001</v>
      </c>
      <c r="AI33">
        <f>((EX33*1.25))</f>
        <v>0</v>
      </c>
      <c r="AJ33">
        <f t="shared" si="28"/>
        <v>0</v>
      </c>
      <c r="AK33">
        <v>52.8</v>
      </c>
      <c r="AL33">
        <v>0</v>
      </c>
      <c r="AM33">
        <v>0.82</v>
      </c>
      <c r="AN33">
        <v>0.14000000000000001</v>
      </c>
      <c r="AO33">
        <v>51.98</v>
      </c>
      <c r="AP33">
        <v>0</v>
      </c>
      <c r="AQ33">
        <v>4.6500000000000004</v>
      </c>
      <c r="AR33">
        <v>0</v>
      </c>
      <c r="AS33">
        <v>0</v>
      </c>
      <c r="AT33">
        <v>81</v>
      </c>
      <c r="AU33">
        <v>41</v>
      </c>
      <c r="AV33">
        <v>1.0249999999999999</v>
      </c>
      <c r="AW33">
        <v>1</v>
      </c>
      <c r="AZ33">
        <v>1</v>
      </c>
      <c r="BA33">
        <v>20.399999999999999</v>
      </c>
      <c r="BB33">
        <v>7.8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60</v>
      </c>
      <c r="BM33">
        <v>1523</v>
      </c>
      <c r="BN33">
        <v>0</v>
      </c>
      <c r="BO33" t="s">
        <v>58</v>
      </c>
      <c r="BP33">
        <v>1</v>
      </c>
      <c r="BQ33">
        <v>30</v>
      </c>
      <c r="BR33">
        <v>0</v>
      </c>
      <c r="BS33">
        <v>20.399999999999999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81</v>
      </c>
      <c r="CA33">
        <v>41</v>
      </c>
      <c r="CE33">
        <v>0</v>
      </c>
      <c r="CF33">
        <v>0</v>
      </c>
      <c r="CG33">
        <v>0</v>
      </c>
      <c r="CM33">
        <v>0</v>
      </c>
      <c r="CN33" t="s">
        <v>16</v>
      </c>
      <c r="CO33">
        <v>0</v>
      </c>
      <c r="CP33">
        <f t="shared" si="29"/>
        <v>10511.689999999999</v>
      </c>
      <c r="CQ33">
        <f t="shared" si="30"/>
        <v>0</v>
      </c>
      <c r="CR33">
        <f t="shared" si="31"/>
        <v>8.1948749999999979</v>
      </c>
      <c r="CS33">
        <f t="shared" si="32"/>
        <v>3.6592499999999992</v>
      </c>
      <c r="CT33">
        <f t="shared" si="33"/>
        <v>1249.9370699999997</v>
      </c>
      <c r="CU33">
        <f t="shared" si="34"/>
        <v>0</v>
      </c>
      <c r="CV33">
        <f t="shared" si="35"/>
        <v>5.4811874999999999</v>
      </c>
      <c r="CW33">
        <f t="shared" si="36"/>
        <v>0</v>
      </c>
      <c r="CX33">
        <f t="shared" si="37"/>
        <v>0</v>
      </c>
      <c r="CY33">
        <f t="shared" si="38"/>
        <v>8459.0082000000002</v>
      </c>
      <c r="CZ33">
        <f t="shared" si="39"/>
        <v>4281.7201999999997</v>
      </c>
      <c r="DC33" t="s">
        <v>3</v>
      </c>
      <c r="DD33" t="s">
        <v>3</v>
      </c>
      <c r="DE33" t="s">
        <v>17</v>
      </c>
      <c r="DF33" t="s">
        <v>17</v>
      </c>
      <c r="DG33" t="s">
        <v>18</v>
      </c>
      <c r="DH33" t="s">
        <v>3</v>
      </c>
      <c r="DI33" t="s">
        <v>18</v>
      </c>
      <c r="DJ33" t="s">
        <v>17</v>
      </c>
      <c r="DK33" t="s">
        <v>3</v>
      </c>
      <c r="DL33" t="s">
        <v>3</v>
      </c>
      <c r="DM33" t="s">
        <v>3</v>
      </c>
      <c r="DN33">
        <v>100</v>
      </c>
      <c r="DO33">
        <v>64</v>
      </c>
      <c r="DP33">
        <v>1.0249999999999999</v>
      </c>
      <c r="DQ33">
        <v>1</v>
      </c>
      <c r="DU33">
        <v>1005</v>
      </c>
      <c r="DV33" t="s">
        <v>14</v>
      </c>
      <c r="DW33" t="s">
        <v>14</v>
      </c>
      <c r="DX33">
        <v>100</v>
      </c>
      <c r="EE33">
        <v>41868971</v>
      </c>
      <c r="EF33">
        <v>30</v>
      </c>
      <c r="EG33" t="s">
        <v>19</v>
      </c>
      <c r="EH33">
        <v>0</v>
      </c>
      <c r="EI33" t="s">
        <v>3</v>
      </c>
      <c r="EJ33">
        <v>1</v>
      </c>
      <c r="EK33">
        <v>1523</v>
      </c>
      <c r="EL33" t="s">
        <v>61</v>
      </c>
      <c r="EM33" t="s">
        <v>62</v>
      </c>
      <c r="EO33" t="s">
        <v>22</v>
      </c>
      <c r="EQ33">
        <v>0</v>
      </c>
      <c r="ER33">
        <v>52.8</v>
      </c>
      <c r="ES33">
        <v>0</v>
      </c>
      <c r="ET33">
        <v>0.82</v>
      </c>
      <c r="EU33">
        <v>0.14000000000000001</v>
      </c>
      <c r="EV33">
        <v>51.98</v>
      </c>
      <c r="EW33">
        <v>4.6500000000000004</v>
      </c>
      <c r="EX33">
        <v>0</v>
      </c>
      <c r="EY33">
        <v>0</v>
      </c>
      <c r="FQ33">
        <v>0</v>
      </c>
      <c r="FR33">
        <f t="shared" si="40"/>
        <v>0</v>
      </c>
      <c r="FS33">
        <v>0</v>
      </c>
      <c r="FX33">
        <v>100</v>
      </c>
      <c r="FY33">
        <v>64</v>
      </c>
      <c r="GA33" t="s">
        <v>3</v>
      </c>
      <c r="GD33">
        <v>0</v>
      </c>
      <c r="GF33">
        <v>-1757916944</v>
      </c>
      <c r="GG33">
        <v>2</v>
      </c>
      <c r="GH33">
        <v>1</v>
      </c>
      <c r="GI33">
        <v>2</v>
      </c>
      <c r="GJ33">
        <v>0</v>
      </c>
      <c r="GK33">
        <f>ROUND(R33*(R12)/100,2)</f>
        <v>47.99</v>
      </c>
      <c r="GL33">
        <f t="shared" si="41"/>
        <v>0</v>
      </c>
      <c r="GM33">
        <f>ROUND(O33+X33+Y33+GK33,2)+GX33</f>
        <v>23300.41</v>
      </c>
      <c r="GN33">
        <f>IF(OR(BI33=0,BI33=1),ROUND(O33+X33+Y33+GK33,2),0)</f>
        <v>23300.41</v>
      </c>
      <c r="GO33">
        <f>IF(BI33=2,ROUND(O33+X33+Y33+GK33,2),0)</f>
        <v>0</v>
      </c>
      <c r="GP33">
        <f>IF(BI33=4,ROUND(O33+X33+Y33+GK33,2)+GX33,0)</f>
        <v>0</v>
      </c>
      <c r="GR33">
        <v>0</v>
      </c>
      <c r="GS33">
        <v>3</v>
      </c>
      <c r="GT33">
        <v>0</v>
      </c>
      <c r="GU33" t="s">
        <v>3</v>
      </c>
      <c r="GV33">
        <f t="shared" si="42"/>
        <v>0</v>
      </c>
      <c r="GW33">
        <v>1</v>
      </c>
      <c r="GX33">
        <f t="shared" si="43"/>
        <v>0</v>
      </c>
      <c r="HA33">
        <v>0</v>
      </c>
      <c r="HB33">
        <v>0</v>
      </c>
      <c r="HC33">
        <f t="shared" si="44"/>
        <v>0</v>
      </c>
      <c r="IK33">
        <v>0</v>
      </c>
    </row>
    <row r="34" spans="1:245" x14ac:dyDescent="0.2">
      <c r="A34">
        <v>18</v>
      </c>
      <c r="B34">
        <v>1</v>
      </c>
      <c r="C34">
        <v>35</v>
      </c>
      <c r="E34" t="s">
        <v>63</v>
      </c>
      <c r="F34" t="s">
        <v>64</v>
      </c>
      <c r="G34" t="s">
        <v>65</v>
      </c>
      <c r="H34" t="s">
        <v>55</v>
      </c>
      <c r="I34">
        <f>I33*J34</f>
        <v>86.0565</v>
      </c>
      <c r="J34">
        <v>10.299999999999999</v>
      </c>
      <c r="O34">
        <f t="shared" si="14"/>
        <v>2967.76</v>
      </c>
      <c r="P34">
        <f t="shared" si="15"/>
        <v>2967.76</v>
      </c>
      <c r="Q34">
        <f t="shared" si="16"/>
        <v>0</v>
      </c>
      <c r="R34">
        <f t="shared" si="17"/>
        <v>0</v>
      </c>
      <c r="S34">
        <f t="shared" si="18"/>
        <v>0</v>
      </c>
      <c r="T34">
        <f t="shared" si="19"/>
        <v>0</v>
      </c>
      <c r="U34">
        <f t="shared" si="20"/>
        <v>0</v>
      </c>
      <c r="V34">
        <f t="shared" si="21"/>
        <v>0</v>
      </c>
      <c r="W34">
        <f t="shared" si="22"/>
        <v>0</v>
      </c>
      <c r="X34">
        <f t="shared" si="23"/>
        <v>0</v>
      </c>
      <c r="Y34">
        <f t="shared" si="24"/>
        <v>0</v>
      </c>
      <c r="AA34">
        <v>44962055</v>
      </c>
      <c r="AB34">
        <f t="shared" si="25"/>
        <v>28.98</v>
      </c>
      <c r="AC34">
        <f t="shared" si="26"/>
        <v>28.98</v>
      </c>
      <c r="AD34">
        <f>ROUND((ET34),6)</f>
        <v>0</v>
      </c>
      <c r="AE34">
        <f>ROUND((EU34),6)</f>
        <v>0</v>
      </c>
      <c r="AF34">
        <f>ROUND((EV34),6)</f>
        <v>0</v>
      </c>
      <c r="AG34">
        <f t="shared" si="27"/>
        <v>0</v>
      </c>
      <c r="AH34">
        <f>(EW34)</f>
        <v>0</v>
      </c>
      <c r="AI34">
        <f>(EX34)</f>
        <v>0</v>
      </c>
      <c r="AJ34">
        <f t="shared" si="28"/>
        <v>0</v>
      </c>
      <c r="AK34">
        <v>28.98</v>
      </c>
      <c r="AL34">
        <v>28.98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1.19</v>
      </c>
      <c r="BD34" t="s">
        <v>3</v>
      </c>
      <c r="BE34" t="s">
        <v>3</v>
      </c>
      <c r="BF34" t="s">
        <v>3</v>
      </c>
      <c r="BG34" t="s">
        <v>3</v>
      </c>
      <c r="BH34">
        <v>3</v>
      </c>
      <c r="BI34">
        <v>1</v>
      </c>
      <c r="BJ34" t="s">
        <v>66</v>
      </c>
      <c r="BM34">
        <v>1523</v>
      </c>
      <c r="BN34">
        <v>0</v>
      </c>
      <c r="BO34" t="s">
        <v>64</v>
      </c>
      <c r="BP34">
        <v>1</v>
      </c>
      <c r="BQ34">
        <v>30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0</v>
      </c>
      <c r="CA34">
        <v>0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29"/>
        <v>2967.76</v>
      </c>
      <c r="CQ34">
        <f t="shared" si="30"/>
        <v>34.486199999999997</v>
      </c>
      <c r="CR34">
        <f t="shared" si="31"/>
        <v>0</v>
      </c>
      <c r="CS34">
        <f t="shared" si="32"/>
        <v>0</v>
      </c>
      <c r="CT34">
        <f t="shared" si="33"/>
        <v>0</v>
      </c>
      <c r="CU34">
        <f t="shared" si="34"/>
        <v>0</v>
      </c>
      <c r="CV34">
        <f t="shared" si="35"/>
        <v>0</v>
      </c>
      <c r="CW34">
        <f t="shared" si="36"/>
        <v>0</v>
      </c>
      <c r="CX34">
        <f t="shared" si="37"/>
        <v>0</v>
      </c>
      <c r="CY34">
        <f t="shared" si="38"/>
        <v>0</v>
      </c>
      <c r="CZ34">
        <f t="shared" si="39"/>
        <v>0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100</v>
      </c>
      <c r="DO34">
        <v>64</v>
      </c>
      <c r="DP34">
        <v>1.0249999999999999</v>
      </c>
      <c r="DQ34">
        <v>1</v>
      </c>
      <c r="DU34">
        <v>1009</v>
      </c>
      <c r="DV34" t="s">
        <v>55</v>
      </c>
      <c r="DW34" t="s">
        <v>55</v>
      </c>
      <c r="DX34">
        <v>1</v>
      </c>
      <c r="EE34">
        <v>41868971</v>
      </c>
      <c r="EF34">
        <v>30</v>
      </c>
      <c r="EG34" t="s">
        <v>19</v>
      </c>
      <c r="EH34">
        <v>0</v>
      </c>
      <c r="EI34" t="s">
        <v>3</v>
      </c>
      <c r="EJ34">
        <v>1</v>
      </c>
      <c r="EK34">
        <v>1523</v>
      </c>
      <c r="EL34" t="s">
        <v>61</v>
      </c>
      <c r="EM34" t="s">
        <v>62</v>
      </c>
      <c r="EO34" t="s">
        <v>3</v>
      </c>
      <c r="EQ34">
        <v>0</v>
      </c>
      <c r="ER34">
        <v>28.98</v>
      </c>
      <c r="ES34">
        <v>28.98</v>
      </c>
      <c r="ET34">
        <v>0</v>
      </c>
      <c r="EU34">
        <v>0</v>
      </c>
      <c r="EV34">
        <v>0</v>
      </c>
      <c r="EW34">
        <v>0</v>
      </c>
      <c r="EX34">
        <v>0</v>
      </c>
      <c r="FQ34">
        <v>0</v>
      </c>
      <c r="FR34">
        <f t="shared" si="40"/>
        <v>0</v>
      </c>
      <c r="FS34">
        <v>0</v>
      </c>
      <c r="FX34">
        <v>100</v>
      </c>
      <c r="FY34">
        <v>64</v>
      </c>
      <c r="GA34" t="s">
        <v>3</v>
      </c>
      <c r="GD34">
        <v>1</v>
      </c>
      <c r="GF34">
        <v>33071459</v>
      </c>
      <c r="GG34">
        <v>2</v>
      </c>
      <c r="GH34">
        <v>1</v>
      </c>
      <c r="GI34">
        <v>2</v>
      </c>
      <c r="GJ34">
        <v>0</v>
      </c>
      <c r="GK34">
        <v>0</v>
      </c>
      <c r="GL34">
        <f t="shared" si="41"/>
        <v>0</v>
      </c>
      <c r="GM34">
        <f>ROUND(O34+X34+Y34,2)+GX34</f>
        <v>2967.76</v>
      </c>
      <c r="GN34">
        <f>IF(OR(BI34=0,BI34=1),ROUND(O34+X34+Y34,2),0)</f>
        <v>2967.76</v>
      </c>
      <c r="GO34">
        <f>IF(BI34=2,ROUND(O34+X34+Y34,2),0)</f>
        <v>0</v>
      </c>
      <c r="GP34">
        <f>IF(BI34=4,ROUND(O34+X34+Y34,2)+GX34,0)</f>
        <v>0</v>
      </c>
      <c r="GR34">
        <v>0</v>
      </c>
      <c r="GS34">
        <v>3</v>
      </c>
      <c r="GT34">
        <v>0</v>
      </c>
      <c r="GU34" t="s">
        <v>3</v>
      </c>
      <c r="GV34">
        <f t="shared" si="42"/>
        <v>0</v>
      </c>
      <c r="GW34">
        <v>1</v>
      </c>
      <c r="GX34">
        <f t="shared" si="43"/>
        <v>0</v>
      </c>
      <c r="HA34">
        <v>0</v>
      </c>
      <c r="HB34">
        <v>0</v>
      </c>
      <c r="HC34">
        <f t="shared" si="44"/>
        <v>0</v>
      </c>
      <c r="IK34">
        <v>0</v>
      </c>
    </row>
    <row r="35" spans="1:245" x14ac:dyDescent="0.2">
      <c r="A35">
        <v>17</v>
      </c>
      <c r="B35">
        <v>1</v>
      </c>
      <c r="C35">
        <f>ROW(SmtRes!A42)</f>
        <v>42</v>
      </c>
      <c r="D35">
        <f>ROW(EtalonRes!A40)</f>
        <v>40</v>
      </c>
      <c r="E35" t="s">
        <v>67</v>
      </c>
      <c r="F35" t="s">
        <v>68</v>
      </c>
      <c r="G35" t="s">
        <v>69</v>
      </c>
      <c r="H35" t="s">
        <v>70</v>
      </c>
      <c r="I35">
        <f>ROUND(835.5/100,9)</f>
        <v>8.3550000000000004</v>
      </c>
      <c r="J35">
        <v>0</v>
      </c>
      <c r="O35">
        <f t="shared" si="14"/>
        <v>407284.28</v>
      </c>
      <c r="P35">
        <f t="shared" si="15"/>
        <v>24846.33</v>
      </c>
      <c r="Q35">
        <f t="shared" si="16"/>
        <v>396.36</v>
      </c>
      <c r="R35">
        <f t="shared" si="17"/>
        <v>244.58</v>
      </c>
      <c r="S35">
        <f t="shared" si="18"/>
        <v>382041.59</v>
      </c>
      <c r="T35">
        <f t="shared" si="19"/>
        <v>0</v>
      </c>
      <c r="U35">
        <f t="shared" si="20"/>
        <v>1546.2076312499998</v>
      </c>
      <c r="V35">
        <f t="shared" si="21"/>
        <v>0</v>
      </c>
      <c r="W35">
        <f t="shared" si="22"/>
        <v>0</v>
      </c>
      <c r="X35">
        <f t="shared" si="23"/>
        <v>309453.69</v>
      </c>
      <c r="Y35">
        <f t="shared" si="24"/>
        <v>156637.04999999999</v>
      </c>
      <c r="AA35">
        <v>44962055</v>
      </c>
      <c r="AB35">
        <f t="shared" si="25"/>
        <v>3144.6305000000002</v>
      </c>
      <c r="AC35">
        <f t="shared" si="26"/>
        <v>953.15</v>
      </c>
      <c r="AD35">
        <f>ROUND(((ET35*1.25)),6)</f>
        <v>4.6749999999999998</v>
      </c>
      <c r="AE35">
        <f>ROUND(((EU35*1.25)),6)</f>
        <v>1.4</v>
      </c>
      <c r="AF35">
        <f>ROUND(((EV35*1.15)),6)</f>
        <v>2186.8054999999999</v>
      </c>
      <c r="AG35">
        <f t="shared" si="27"/>
        <v>0</v>
      </c>
      <c r="AH35">
        <f>((EW35*1.15))</f>
        <v>180.54999999999998</v>
      </c>
      <c r="AI35">
        <f>((EX35*1.25))</f>
        <v>0</v>
      </c>
      <c r="AJ35">
        <f t="shared" si="28"/>
        <v>0</v>
      </c>
      <c r="AK35">
        <v>2858.46</v>
      </c>
      <c r="AL35">
        <v>953.15</v>
      </c>
      <c r="AM35">
        <v>3.74</v>
      </c>
      <c r="AN35">
        <v>1.1200000000000001</v>
      </c>
      <c r="AO35">
        <v>1901.57</v>
      </c>
      <c r="AP35">
        <v>0</v>
      </c>
      <c r="AQ35">
        <v>157</v>
      </c>
      <c r="AR35">
        <v>0</v>
      </c>
      <c r="AS35">
        <v>0</v>
      </c>
      <c r="AT35">
        <v>81</v>
      </c>
      <c r="AU35">
        <v>41</v>
      </c>
      <c r="AV35">
        <v>1.0249999999999999</v>
      </c>
      <c r="AW35">
        <v>1</v>
      </c>
      <c r="AZ35">
        <v>1</v>
      </c>
      <c r="BA35">
        <v>20.399999999999999</v>
      </c>
      <c r="BB35">
        <v>9.9</v>
      </c>
      <c r="BC35">
        <v>3.12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1</v>
      </c>
      <c r="BJ35" t="s">
        <v>71</v>
      </c>
      <c r="BM35">
        <v>121</v>
      </c>
      <c r="BN35">
        <v>0</v>
      </c>
      <c r="BO35" t="s">
        <v>68</v>
      </c>
      <c r="BP35">
        <v>1</v>
      </c>
      <c r="BQ35">
        <v>30</v>
      </c>
      <c r="BR35">
        <v>0</v>
      </c>
      <c r="BS35">
        <v>20.399999999999999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81</v>
      </c>
      <c r="CA35">
        <v>41</v>
      </c>
      <c r="CE35">
        <v>0</v>
      </c>
      <c r="CF35">
        <v>0</v>
      </c>
      <c r="CG35">
        <v>0</v>
      </c>
      <c r="CM35">
        <v>0</v>
      </c>
      <c r="CN35" t="s">
        <v>16</v>
      </c>
      <c r="CO35">
        <v>0</v>
      </c>
      <c r="CP35">
        <f t="shared" si="29"/>
        <v>407284.28</v>
      </c>
      <c r="CQ35">
        <f t="shared" si="30"/>
        <v>2973.828</v>
      </c>
      <c r="CR35">
        <f t="shared" si="31"/>
        <v>47.439562499999994</v>
      </c>
      <c r="CS35">
        <f t="shared" si="32"/>
        <v>29.273999999999994</v>
      </c>
      <c r="CT35">
        <f t="shared" si="33"/>
        <v>45726.10300499999</v>
      </c>
      <c r="CU35">
        <f t="shared" si="34"/>
        <v>0</v>
      </c>
      <c r="CV35">
        <f t="shared" si="35"/>
        <v>185.06374999999997</v>
      </c>
      <c r="CW35">
        <f t="shared" si="36"/>
        <v>0</v>
      </c>
      <c r="CX35">
        <f t="shared" si="37"/>
        <v>0</v>
      </c>
      <c r="CY35">
        <f t="shared" si="38"/>
        <v>309453.68790000002</v>
      </c>
      <c r="CZ35">
        <f t="shared" si="39"/>
        <v>156637.05189999999</v>
      </c>
      <c r="DC35" t="s">
        <v>3</v>
      </c>
      <c r="DD35" t="s">
        <v>3</v>
      </c>
      <c r="DE35" t="s">
        <v>17</v>
      </c>
      <c r="DF35" t="s">
        <v>17</v>
      </c>
      <c r="DG35" t="s">
        <v>18</v>
      </c>
      <c r="DH35" t="s">
        <v>3</v>
      </c>
      <c r="DI35" t="s">
        <v>18</v>
      </c>
      <c r="DJ35" t="s">
        <v>17</v>
      </c>
      <c r="DK35" t="s">
        <v>3</v>
      </c>
      <c r="DL35" t="s">
        <v>3</v>
      </c>
      <c r="DM35" t="s">
        <v>3</v>
      </c>
      <c r="DN35">
        <v>100</v>
      </c>
      <c r="DO35">
        <v>64</v>
      </c>
      <c r="DP35">
        <v>1.0249999999999999</v>
      </c>
      <c r="DQ35">
        <v>1</v>
      </c>
      <c r="DU35">
        <v>1013</v>
      </c>
      <c r="DV35" t="s">
        <v>70</v>
      </c>
      <c r="DW35" t="s">
        <v>70</v>
      </c>
      <c r="DX35">
        <v>1</v>
      </c>
      <c r="EE35">
        <v>41867569</v>
      </c>
      <c r="EF35">
        <v>30</v>
      </c>
      <c r="EG35" t="s">
        <v>19</v>
      </c>
      <c r="EH35">
        <v>0</v>
      </c>
      <c r="EI35" t="s">
        <v>3</v>
      </c>
      <c r="EJ35">
        <v>1</v>
      </c>
      <c r="EK35">
        <v>121</v>
      </c>
      <c r="EL35" t="s">
        <v>72</v>
      </c>
      <c r="EM35" t="s">
        <v>73</v>
      </c>
      <c r="EO35" t="s">
        <v>22</v>
      </c>
      <c r="EQ35">
        <v>0</v>
      </c>
      <c r="ER35">
        <v>2858.46</v>
      </c>
      <c r="ES35">
        <v>953.15</v>
      </c>
      <c r="ET35">
        <v>3.74</v>
      </c>
      <c r="EU35">
        <v>1.1200000000000001</v>
      </c>
      <c r="EV35">
        <v>1901.57</v>
      </c>
      <c r="EW35">
        <v>157</v>
      </c>
      <c r="EX35">
        <v>0</v>
      </c>
      <c r="EY35">
        <v>0</v>
      </c>
      <c r="FQ35">
        <v>0</v>
      </c>
      <c r="FR35">
        <f t="shared" si="40"/>
        <v>0</v>
      </c>
      <c r="FS35">
        <v>0</v>
      </c>
      <c r="FX35">
        <v>100</v>
      </c>
      <c r="FY35">
        <v>64</v>
      </c>
      <c r="GA35" t="s">
        <v>3</v>
      </c>
      <c r="GD35">
        <v>0</v>
      </c>
      <c r="GF35">
        <v>395751903</v>
      </c>
      <c r="GG35">
        <v>2</v>
      </c>
      <c r="GH35">
        <v>1</v>
      </c>
      <c r="GI35">
        <v>2</v>
      </c>
      <c r="GJ35">
        <v>0</v>
      </c>
      <c r="GK35">
        <f>ROUND(R35*(R12)/100,2)</f>
        <v>383.99</v>
      </c>
      <c r="GL35">
        <f t="shared" si="41"/>
        <v>0</v>
      </c>
      <c r="GM35">
        <f>ROUND(O35+X35+Y35+GK35,2)+GX35</f>
        <v>873759.01</v>
      </c>
      <c r="GN35">
        <f>IF(OR(BI35=0,BI35=1),ROUND(O35+X35+Y35+GK35,2),0)</f>
        <v>873759.01</v>
      </c>
      <c r="GO35">
        <f>IF(BI35=2,ROUND(O35+X35+Y35+GK35,2),0)</f>
        <v>0</v>
      </c>
      <c r="GP35">
        <f>IF(BI35=4,ROUND(O35+X35+Y35+GK35,2)+GX35,0)</f>
        <v>0</v>
      </c>
      <c r="GR35">
        <v>0</v>
      </c>
      <c r="GS35">
        <v>3</v>
      </c>
      <c r="GT35">
        <v>0</v>
      </c>
      <c r="GU35" t="s">
        <v>3</v>
      </c>
      <c r="GV35">
        <f t="shared" si="42"/>
        <v>0</v>
      </c>
      <c r="GW35">
        <v>1</v>
      </c>
      <c r="GX35">
        <f t="shared" si="43"/>
        <v>0</v>
      </c>
      <c r="HA35">
        <v>0</v>
      </c>
      <c r="HB35">
        <v>0</v>
      </c>
      <c r="HC35">
        <f t="shared" si="44"/>
        <v>0</v>
      </c>
      <c r="IK35">
        <v>0</v>
      </c>
    </row>
    <row r="36" spans="1:245" x14ac:dyDescent="0.2">
      <c r="A36">
        <v>18</v>
      </c>
      <c r="B36">
        <v>1</v>
      </c>
      <c r="C36">
        <v>40</v>
      </c>
      <c r="E36" t="s">
        <v>74</v>
      </c>
      <c r="F36" t="s">
        <v>75</v>
      </c>
      <c r="G36" t="s">
        <v>76</v>
      </c>
      <c r="H36" t="s">
        <v>77</v>
      </c>
      <c r="I36">
        <f>I35*J36</f>
        <v>0.13367999999999999</v>
      </c>
      <c r="J36">
        <v>1.5999999999999997E-2</v>
      </c>
      <c r="O36">
        <f t="shared" si="14"/>
        <v>5632.33</v>
      </c>
      <c r="P36">
        <f t="shared" si="15"/>
        <v>5632.33</v>
      </c>
      <c r="Q36">
        <f t="shared" si="16"/>
        <v>0</v>
      </c>
      <c r="R36">
        <f t="shared" si="17"/>
        <v>0</v>
      </c>
      <c r="S36">
        <f t="shared" si="18"/>
        <v>0</v>
      </c>
      <c r="T36">
        <f t="shared" si="19"/>
        <v>0</v>
      </c>
      <c r="U36">
        <f t="shared" si="20"/>
        <v>0</v>
      </c>
      <c r="V36">
        <f t="shared" si="21"/>
        <v>0</v>
      </c>
      <c r="W36">
        <f t="shared" si="22"/>
        <v>0</v>
      </c>
      <c r="X36">
        <f t="shared" si="23"/>
        <v>0</v>
      </c>
      <c r="Y36">
        <f t="shared" si="24"/>
        <v>0</v>
      </c>
      <c r="AA36">
        <v>44962055</v>
      </c>
      <c r="AB36">
        <f t="shared" si="25"/>
        <v>22652.13</v>
      </c>
      <c r="AC36">
        <f t="shared" si="26"/>
        <v>22652.13</v>
      </c>
      <c r="AD36">
        <f t="shared" ref="AD36:AF38" si="48">ROUND((ET36),6)</f>
        <v>0</v>
      </c>
      <c r="AE36">
        <f t="shared" si="48"/>
        <v>0</v>
      </c>
      <c r="AF36">
        <f t="shared" si="48"/>
        <v>0</v>
      </c>
      <c r="AG36">
        <f t="shared" si="27"/>
        <v>0</v>
      </c>
      <c r="AH36">
        <f t="shared" ref="AH36:AI38" si="49">(EW36)</f>
        <v>0</v>
      </c>
      <c r="AI36">
        <f t="shared" si="49"/>
        <v>0</v>
      </c>
      <c r="AJ36">
        <f t="shared" si="28"/>
        <v>0</v>
      </c>
      <c r="AK36">
        <v>22652.13</v>
      </c>
      <c r="AL36">
        <v>22652.13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1.86</v>
      </c>
      <c r="BD36" t="s">
        <v>3</v>
      </c>
      <c r="BE36" t="s">
        <v>3</v>
      </c>
      <c r="BF36" t="s">
        <v>3</v>
      </c>
      <c r="BG36" t="s">
        <v>3</v>
      </c>
      <c r="BH36">
        <v>3</v>
      </c>
      <c r="BI36">
        <v>1</v>
      </c>
      <c r="BJ36" t="s">
        <v>78</v>
      </c>
      <c r="BM36">
        <v>121</v>
      </c>
      <c r="BN36">
        <v>0</v>
      </c>
      <c r="BO36" t="s">
        <v>75</v>
      </c>
      <c r="BP36">
        <v>1</v>
      </c>
      <c r="BQ36">
        <v>30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0</v>
      </c>
      <c r="CA36">
        <v>0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29"/>
        <v>5632.33</v>
      </c>
      <c r="CQ36">
        <f t="shared" si="30"/>
        <v>42132.961800000005</v>
      </c>
      <c r="CR36">
        <f t="shared" si="31"/>
        <v>0</v>
      </c>
      <c r="CS36">
        <f t="shared" si="32"/>
        <v>0</v>
      </c>
      <c r="CT36">
        <f t="shared" si="33"/>
        <v>0</v>
      </c>
      <c r="CU36">
        <f t="shared" si="34"/>
        <v>0</v>
      </c>
      <c r="CV36">
        <f t="shared" si="35"/>
        <v>0</v>
      </c>
      <c r="CW36">
        <f t="shared" si="36"/>
        <v>0</v>
      </c>
      <c r="CX36">
        <f t="shared" si="37"/>
        <v>0</v>
      </c>
      <c r="CY36">
        <f t="shared" si="38"/>
        <v>0</v>
      </c>
      <c r="CZ36">
        <f t="shared" si="39"/>
        <v>0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100</v>
      </c>
      <c r="DO36">
        <v>64</v>
      </c>
      <c r="DP36">
        <v>1.0249999999999999</v>
      </c>
      <c r="DQ36">
        <v>1</v>
      </c>
      <c r="DU36">
        <v>1009</v>
      </c>
      <c r="DV36" t="s">
        <v>77</v>
      </c>
      <c r="DW36" t="s">
        <v>77</v>
      </c>
      <c r="DX36">
        <v>1000</v>
      </c>
      <c r="EE36">
        <v>41867569</v>
      </c>
      <c r="EF36">
        <v>30</v>
      </c>
      <c r="EG36" t="s">
        <v>19</v>
      </c>
      <c r="EH36">
        <v>0</v>
      </c>
      <c r="EI36" t="s">
        <v>3</v>
      </c>
      <c r="EJ36">
        <v>1</v>
      </c>
      <c r="EK36">
        <v>121</v>
      </c>
      <c r="EL36" t="s">
        <v>72</v>
      </c>
      <c r="EM36" t="s">
        <v>73</v>
      </c>
      <c r="EO36" t="s">
        <v>3</v>
      </c>
      <c r="EQ36">
        <v>0</v>
      </c>
      <c r="ER36">
        <v>22652.13</v>
      </c>
      <c r="ES36">
        <v>22652.13</v>
      </c>
      <c r="ET36">
        <v>0</v>
      </c>
      <c r="EU36">
        <v>0</v>
      </c>
      <c r="EV36">
        <v>0</v>
      </c>
      <c r="EW36">
        <v>0</v>
      </c>
      <c r="EX36">
        <v>0</v>
      </c>
      <c r="FQ36">
        <v>0</v>
      </c>
      <c r="FR36">
        <f t="shared" si="40"/>
        <v>0</v>
      </c>
      <c r="FS36">
        <v>0</v>
      </c>
      <c r="FX36">
        <v>100</v>
      </c>
      <c r="FY36">
        <v>64</v>
      </c>
      <c r="GA36" t="s">
        <v>3</v>
      </c>
      <c r="GD36">
        <v>1</v>
      </c>
      <c r="GF36">
        <v>-908598485</v>
      </c>
      <c r="GG36">
        <v>2</v>
      </c>
      <c r="GH36">
        <v>1</v>
      </c>
      <c r="GI36">
        <v>2</v>
      </c>
      <c r="GJ36">
        <v>0</v>
      </c>
      <c r="GK36">
        <v>0</v>
      </c>
      <c r="GL36">
        <f t="shared" si="41"/>
        <v>0</v>
      </c>
      <c r="GM36">
        <f>ROUND(O36+X36+Y36,2)+GX36</f>
        <v>5632.33</v>
      </c>
      <c r="GN36">
        <f>IF(OR(BI36=0,BI36=1),ROUND(O36+X36+Y36,2),0)</f>
        <v>5632.33</v>
      </c>
      <c r="GO36">
        <f>IF(BI36=2,ROUND(O36+X36+Y36,2),0)</f>
        <v>0</v>
      </c>
      <c r="GP36">
        <f>IF(BI36=4,ROUND(O36+X36+Y36,2)+GX36,0)</f>
        <v>0</v>
      </c>
      <c r="GR36">
        <v>0</v>
      </c>
      <c r="GS36">
        <v>3</v>
      </c>
      <c r="GT36">
        <v>0</v>
      </c>
      <c r="GU36" t="s">
        <v>3</v>
      </c>
      <c r="GV36">
        <f t="shared" si="42"/>
        <v>0</v>
      </c>
      <c r="GW36">
        <v>1</v>
      </c>
      <c r="GX36">
        <f t="shared" si="43"/>
        <v>0</v>
      </c>
      <c r="HA36">
        <v>0</v>
      </c>
      <c r="HB36">
        <v>0</v>
      </c>
      <c r="HC36">
        <f t="shared" si="44"/>
        <v>0</v>
      </c>
      <c r="IK36">
        <v>0</v>
      </c>
    </row>
    <row r="37" spans="1:245" x14ac:dyDescent="0.2">
      <c r="A37">
        <v>18</v>
      </c>
      <c r="B37">
        <v>1</v>
      </c>
      <c r="C37">
        <v>41</v>
      </c>
      <c r="E37" t="s">
        <v>79</v>
      </c>
      <c r="F37" t="s">
        <v>80</v>
      </c>
      <c r="G37" t="s">
        <v>81</v>
      </c>
      <c r="H37" t="s">
        <v>55</v>
      </c>
      <c r="I37">
        <f>I35*J37</f>
        <v>1002.6</v>
      </c>
      <c r="J37">
        <v>120</v>
      </c>
      <c r="O37">
        <f t="shared" si="14"/>
        <v>21585.48</v>
      </c>
      <c r="P37">
        <f t="shared" si="15"/>
        <v>21585.48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44962055</v>
      </c>
      <c r="AB37">
        <f t="shared" si="25"/>
        <v>13.89</v>
      </c>
      <c r="AC37">
        <f t="shared" si="26"/>
        <v>13.89</v>
      </c>
      <c r="AD37">
        <f t="shared" si="48"/>
        <v>0</v>
      </c>
      <c r="AE37">
        <f t="shared" si="48"/>
        <v>0</v>
      </c>
      <c r="AF37">
        <f t="shared" si="48"/>
        <v>0</v>
      </c>
      <c r="AG37">
        <f t="shared" si="27"/>
        <v>0</v>
      </c>
      <c r="AH37">
        <f t="shared" si="49"/>
        <v>0</v>
      </c>
      <c r="AI37">
        <f t="shared" si="49"/>
        <v>0</v>
      </c>
      <c r="AJ37">
        <f t="shared" si="28"/>
        <v>0</v>
      </c>
      <c r="AK37">
        <v>13.89</v>
      </c>
      <c r="AL37">
        <v>13.89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1.55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82</v>
      </c>
      <c r="BM37">
        <v>121</v>
      </c>
      <c r="BN37">
        <v>0</v>
      </c>
      <c r="BO37" t="s">
        <v>80</v>
      </c>
      <c r="BP37">
        <v>1</v>
      </c>
      <c r="BQ37">
        <v>30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0</v>
      </c>
      <c r="CA37">
        <v>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29"/>
        <v>21585.48</v>
      </c>
      <c r="CQ37">
        <f t="shared" si="30"/>
        <v>21.529500000000002</v>
      </c>
      <c r="CR37">
        <f t="shared" si="31"/>
        <v>0</v>
      </c>
      <c r="CS37">
        <f t="shared" si="32"/>
        <v>0</v>
      </c>
      <c r="CT37">
        <f t="shared" si="33"/>
        <v>0</v>
      </c>
      <c r="CU37">
        <f t="shared" si="34"/>
        <v>0</v>
      </c>
      <c r="CV37">
        <f t="shared" si="35"/>
        <v>0</v>
      </c>
      <c r="CW37">
        <f t="shared" si="36"/>
        <v>0</v>
      </c>
      <c r="CX37">
        <f t="shared" si="37"/>
        <v>0</v>
      </c>
      <c r="CY37">
        <f t="shared" si="38"/>
        <v>0</v>
      </c>
      <c r="CZ37">
        <f t="shared" si="39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100</v>
      </c>
      <c r="DO37">
        <v>64</v>
      </c>
      <c r="DP37">
        <v>1.0249999999999999</v>
      </c>
      <c r="DQ37">
        <v>1</v>
      </c>
      <c r="DU37">
        <v>1009</v>
      </c>
      <c r="DV37" t="s">
        <v>55</v>
      </c>
      <c r="DW37" t="s">
        <v>55</v>
      </c>
      <c r="DX37">
        <v>1</v>
      </c>
      <c r="EE37">
        <v>41867569</v>
      </c>
      <c r="EF37">
        <v>30</v>
      </c>
      <c r="EG37" t="s">
        <v>19</v>
      </c>
      <c r="EH37">
        <v>0</v>
      </c>
      <c r="EI37" t="s">
        <v>3</v>
      </c>
      <c r="EJ37">
        <v>1</v>
      </c>
      <c r="EK37">
        <v>121</v>
      </c>
      <c r="EL37" t="s">
        <v>72</v>
      </c>
      <c r="EM37" t="s">
        <v>73</v>
      </c>
      <c r="EO37" t="s">
        <v>3</v>
      </c>
      <c r="EQ37">
        <v>0</v>
      </c>
      <c r="ER37">
        <v>13.89</v>
      </c>
      <c r="ES37">
        <v>13.89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0"/>
        <v>0</v>
      </c>
      <c r="FS37">
        <v>0</v>
      </c>
      <c r="FX37">
        <v>100</v>
      </c>
      <c r="FY37">
        <v>64</v>
      </c>
      <c r="GA37" t="s">
        <v>3</v>
      </c>
      <c r="GD37">
        <v>1</v>
      </c>
      <c r="GF37">
        <v>1867608313</v>
      </c>
      <c r="GG37">
        <v>2</v>
      </c>
      <c r="GH37">
        <v>1</v>
      </c>
      <c r="GI37">
        <v>2</v>
      </c>
      <c r="GJ37">
        <v>0</v>
      </c>
      <c r="GK37">
        <v>0</v>
      </c>
      <c r="GL37">
        <f t="shared" si="41"/>
        <v>0</v>
      </c>
      <c r="GM37">
        <f>ROUND(O37+X37+Y37,2)+GX37</f>
        <v>21585.48</v>
      </c>
      <c r="GN37">
        <f>IF(OR(BI37=0,BI37=1),ROUND(O37+X37+Y37,2),0)</f>
        <v>21585.48</v>
      </c>
      <c r="GO37">
        <f>IF(BI37=2,ROUND(O37+X37+Y37,2),0)</f>
        <v>0</v>
      </c>
      <c r="GP37">
        <f>IF(BI37=4,ROUND(O37+X37+Y37,2)+GX37,0)</f>
        <v>0</v>
      </c>
      <c r="GR37">
        <v>0</v>
      </c>
      <c r="GS37">
        <v>3</v>
      </c>
      <c r="GT37">
        <v>0</v>
      </c>
      <c r="GU37" t="s">
        <v>3</v>
      </c>
      <c r="GV37">
        <f t="shared" si="42"/>
        <v>0</v>
      </c>
      <c r="GW37">
        <v>1</v>
      </c>
      <c r="GX37">
        <f t="shared" si="43"/>
        <v>0</v>
      </c>
      <c r="HA37">
        <v>0</v>
      </c>
      <c r="HB37">
        <v>0</v>
      </c>
      <c r="HC37">
        <f t="shared" si="44"/>
        <v>0</v>
      </c>
      <c r="IK37">
        <v>0</v>
      </c>
    </row>
    <row r="38" spans="1:245" x14ac:dyDescent="0.2">
      <c r="A38">
        <v>18</v>
      </c>
      <c r="B38">
        <v>1</v>
      </c>
      <c r="C38">
        <v>38</v>
      </c>
      <c r="E38" t="s">
        <v>83</v>
      </c>
      <c r="F38" t="s">
        <v>84</v>
      </c>
      <c r="G38" t="s">
        <v>85</v>
      </c>
      <c r="H38" t="s">
        <v>36</v>
      </c>
      <c r="I38">
        <f>I35*J38</f>
        <v>935.76</v>
      </c>
      <c r="J38">
        <v>112</v>
      </c>
      <c r="O38">
        <f t="shared" si="14"/>
        <v>61311</v>
      </c>
      <c r="P38">
        <f t="shared" si="15"/>
        <v>61311</v>
      </c>
      <c r="Q38">
        <f t="shared" si="16"/>
        <v>0</v>
      </c>
      <c r="R38">
        <f t="shared" si="17"/>
        <v>0</v>
      </c>
      <c r="S38">
        <f t="shared" si="18"/>
        <v>0</v>
      </c>
      <c r="T38">
        <f t="shared" si="19"/>
        <v>0</v>
      </c>
      <c r="U38">
        <f t="shared" si="20"/>
        <v>0</v>
      </c>
      <c r="V38">
        <f t="shared" si="21"/>
        <v>0</v>
      </c>
      <c r="W38">
        <f t="shared" si="22"/>
        <v>0</v>
      </c>
      <c r="X38">
        <f t="shared" si="23"/>
        <v>0</v>
      </c>
      <c r="Y38">
        <f t="shared" si="24"/>
        <v>0</v>
      </c>
      <c r="AA38">
        <v>44962055</v>
      </c>
      <c r="AB38">
        <f t="shared" si="25"/>
        <v>16.38</v>
      </c>
      <c r="AC38">
        <f t="shared" si="26"/>
        <v>16.38</v>
      </c>
      <c r="AD38">
        <f t="shared" si="48"/>
        <v>0</v>
      </c>
      <c r="AE38">
        <f t="shared" si="48"/>
        <v>0</v>
      </c>
      <c r="AF38">
        <f t="shared" si="48"/>
        <v>0</v>
      </c>
      <c r="AG38">
        <f t="shared" si="27"/>
        <v>0</v>
      </c>
      <c r="AH38">
        <f t="shared" si="49"/>
        <v>0</v>
      </c>
      <c r="AI38">
        <f t="shared" si="49"/>
        <v>0</v>
      </c>
      <c r="AJ38">
        <f t="shared" si="28"/>
        <v>0</v>
      </c>
      <c r="AK38">
        <v>16.38</v>
      </c>
      <c r="AL38">
        <v>16.38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4</v>
      </c>
      <c r="BD38" t="s">
        <v>3</v>
      </c>
      <c r="BE38" t="s">
        <v>3</v>
      </c>
      <c r="BF38" t="s">
        <v>3</v>
      </c>
      <c r="BG38" t="s">
        <v>3</v>
      </c>
      <c r="BH38">
        <v>3</v>
      </c>
      <c r="BI38">
        <v>1</v>
      </c>
      <c r="BJ38" t="s">
        <v>86</v>
      </c>
      <c r="BM38">
        <v>121</v>
      </c>
      <c r="BN38">
        <v>0</v>
      </c>
      <c r="BO38" t="s">
        <v>84</v>
      </c>
      <c r="BP38">
        <v>1</v>
      </c>
      <c r="BQ38">
        <v>30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0</v>
      </c>
      <c r="CA38">
        <v>0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29"/>
        <v>61311</v>
      </c>
      <c r="CQ38">
        <f t="shared" si="30"/>
        <v>65.52</v>
      </c>
      <c r="CR38">
        <f t="shared" si="31"/>
        <v>0</v>
      </c>
      <c r="CS38">
        <f t="shared" si="32"/>
        <v>0</v>
      </c>
      <c r="CT38">
        <f t="shared" si="33"/>
        <v>0</v>
      </c>
      <c r="CU38">
        <f t="shared" si="34"/>
        <v>0</v>
      </c>
      <c r="CV38">
        <f t="shared" si="35"/>
        <v>0</v>
      </c>
      <c r="CW38">
        <f t="shared" si="36"/>
        <v>0</v>
      </c>
      <c r="CX38">
        <f t="shared" si="37"/>
        <v>0</v>
      </c>
      <c r="CY38">
        <f t="shared" si="38"/>
        <v>0</v>
      </c>
      <c r="CZ38">
        <f t="shared" si="39"/>
        <v>0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100</v>
      </c>
      <c r="DO38">
        <v>64</v>
      </c>
      <c r="DP38">
        <v>1.0249999999999999</v>
      </c>
      <c r="DQ38">
        <v>1</v>
      </c>
      <c r="DU38">
        <v>1005</v>
      </c>
      <c r="DV38" t="s">
        <v>36</v>
      </c>
      <c r="DW38" t="s">
        <v>36</v>
      </c>
      <c r="DX38">
        <v>1</v>
      </c>
      <c r="EE38">
        <v>41867569</v>
      </c>
      <c r="EF38">
        <v>30</v>
      </c>
      <c r="EG38" t="s">
        <v>19</v>
      </c>
      <c r="EH38">
        <v>0</v>
      </c>
      <c r="EI38" t="s">
        <v>3</v>
      </c>
      <c r="EJ38">
        <v>1</v>
      </c>
      <c r="EK38">
        <v>121</v>
      </c>
      <c r="EL38" t="s">
        <v>72</v>
      </c>
      <c r="EM38" t="s">
        <v>73</v>
      </c>
      <c r="EO38" t="s">
        <v>3</v>
      </c>
      <c r="EQ38">
        <v>0</v>
      </c>
      <c r="ER38">
        <v>16.38</v>
      </c>
      <c r="ES38">
        <v>16.38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40"/>
        <v>0</v>
      </c>
      <c r="FS38">
        <v>0</v>
      </c>
      <c r="FX38">
        <v>100</v>
      </c>
      <c r="FY38">
        <v>64</v>
      </c>
      <c r="GA38" t="s">
        <v>3</v>
      </c>
      <c r="GD38">
        <v>1</v>
      </c>
      <c r="GF38">
        <v>-1665140176</v>
      </c>
      <c r="GG38">
        <v>2</v>
      </c>
      <c r="GH38">
        <v>1</v>
      </c>
      <c r="GI38">
        <v>2</v>
      </c>
      <c r="GJ38">
        <v>0</v>
      </c>
      <c r="GK38">
        <v>0</v>
      </c>
      <c r="GL38">
        <f t="shared" si="41"/>
        <v>0</v>
      </c>
      <c r="GM38">
        <f>ROUND(O38+X38+Y38,2)+GX38</f>
        <v>61311</v>
      </c>
      <c r="GN38">
        <f>IF(OR(BI38=0,BI38=1),ROUND(O38+X38+Y38,2),0)</f>
        <v>61311</v>
      </c>
      <c r="GO38">
        <f>IF(BI38=2,ROUND(O38+X38+Y38,2),0)</f>
        <v>0</v>
      </c>
      <c r="GP38">
        <f>IF(BI38=4,ROUND(O38+X38+Y38,2)+GX38,0)</f>
        <v>0</v>
      </c>
      <c r="GR38">
        <v>0</v>
      </c>
      <c r="GS38">
        <v>3</v>
      </c>
      <c r="GT38">
        <v>0</v>
      </c>
      <c r="GU38" t="s">
        <v>3</v>
      </c>
      <c r="GV38">
        <f t="shared" si="42"/>
        <v>0</v>
      </c>
      <c r="GW38">
        <v>1</v>
      </c>
      <c r="GX38">
        <f t="shared" si="43"/>
        <v>0</v>
      </c>
      <c r="HA38">
        <v>0</v>
      </c>
      <c r="HB38">
        <v>0</v>
      </c>
      <c r="HC38">
        <f t="shared" si="44"/>
        <v>0</v>
      </c>
      <c r="IK38">
        <v>0</v>
      </c>
    </row>
    <row r="39" spans="1:245" x14ac:dyDescent="0.2">
      <c r="A39">
        <v>17</v>
      </c>
      <c r="B39">
        <v>1</v>
      </c>
      <c r="C39">
        <f>ROW(SmtRes!A44)</f>
        <v>44</v>
      </c>
      <c r="D39">
        <f>ROW(EtalonRes!A42)</f>
        <v>42</v>
      </c>
      <c r="E39" t="s">
        <v>87</v>
      </c>
      <c r="F39" t="s">
        <v>88</v>
      </c>
      <c r="G39" t="s">
        <v>89</v>
      </c>
      <c r="H39" t="s">
        <v>90</v>
      </c>
      <c r="I39">
        <f>ROUND(835.5/100,9)</f>
        <v>8.3550000000000004</v>
      </c>
      <c r="J39">
        <v>0</v>
      </c>
      <c r="O39">
        <f t="shared" si="14"/>
        <v>13268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13268</v>
      </c>
      <c r="T39">
        <f t="shared" si="19"/>
        <v>0</v>
      </c>
      <c r="U39">
        <f t="shared" si="20"/>
        <v>54.068024812499992</v>
      </c>
      <c r="V39">
        <f t="shared" si="21"/>
        <v>0</v>
      </c>
      <c r="W39">
        <f t="shared" si="22"/>
        <v>0</v>
      </c>
      <c r="X39">
        <f t="shared" si="23"/>
        <v>10747.08</v>
      </c>
      <c r="Y39">
        <f t="shared" si="24"/>
        <v>5439.88</v>
      </c>
      <c r="AA39">
        <v>44962055</v>
      </c>
      <c r="AB39">
        <f t="shared" si="25"/>
        <v>75.945999999999998</v>
      </c>
      <c r="AC39">
        <f t="shared" si="26"/>
        <v>0</v>
      </c>
      <c r="AD39">
        <f>ROUND(((ET39*1.25)),6)</f>
        <v>0</v>
      </c>
      <c r="AE39">
        <f>ROUND(((EU39*1.25)),6)</f>
        <v>0</v>
      </c>
      <c r="AF39">
        <f>ROUND(((EV39*1.15)),6)</f>
        <v>75.945999999999998</v>
      </c>
      <c r="AG39">
        <f t="shared" si="27"/>
        <v>0</v>
      </c>
      <c r="AH39">
        <f>((EW39*1.15))</f>
        <v>6.3134999999999994</v>
      </c>
      <c r="AI39">
        <f>((EX39*1.25))</f>
        <v>0</v>
      </c>
      <c r="AJ39">
        <f t="shared" si="28"/>
        <v>0</v>
      </c>
      <c r="AK39">
        <v>66.040000000000006</v>
      </c>
      <c r="AL39">
        <v>0</v>
      </c>
      <c r="AM39">
        <v>0</v>
      </c>
      <c r="AN39">
        <v>0</v>
      </c>
      <c r="AO39">
        <v>66.040000000000006</v>
      </c>
      <c r="AP39">
        <v>0</v>
      </c>
      <c r="AQ39">
        <v>5.49</v>
      </c>
      <c r="AR39">
        <v>0</v>
      </c>
      <c r="AS39">
        <v>0</v>
      </c>
      <c r="AT39">
        <v>81</v>
      </c>
      <c r="AU39">
        <v>41</v>
      </c>
      <c r="AV39">
        <v>1.0249999999999999</v>
      </c>
      <c r="AW39">
        <v>1</v>
      </c>
      <c r="AZ39">
        <v>1</v>
      </c>
      <c r="BA39">
        <v>20.399999999999999</v>
      </c>
      <c r="BB39">
        <v>1</v>
      </c>
      <c r="BC39">
        <v>1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91</v>
      </c>
      <c r="BM39">
        <v>121</v>
      </c>
      <c r="BN39">
        <v>0</v>
      </c>
      <c r="BO39" t="s">
        <v>88</v>
      </c>
      <c r="BP39">
        <v>1</v>
      </c>
      <c r="BQ39">
        <v>30</v>
      </c>
      <c r="BR39">
        <v>0</v>
      </c>
      <c r="BS39">
        <v>20.399999999999999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81</v>
      </c>
      <c r="CA39">
        <v>41</v>
      </c>
      <c r="CE39">
        <v>0</v>
      </c>
      <c r="CF39">
        <v>0</v>
      </c>
      <c r="CG39">
        <v>0</v>
      </c>
      <c r="CM39">
        <v>0</v>
      </c>
      <c r="CN39" t="s">
        <v>16</v>
      </c>
      <c r="CO39">
        <v>0</v>
      </c>
      <c r="CP39">
        <f t="shared" si="29"/>
        <v>13268</v>
      </c>
      <c r="CQ39">
        <f t="shared" si="30"/>
        <v>0</v>
      </c>
      <c r="CR39">
        <f t="shared" si="31"/>
        <v>0</v>
      </c>
      <c r="CS39">
        <f t="shared" si="32"/>
        <v>0</v>
      </c>
      <c r="CT39">
        <f t="shared" si="33"/>
        <v>1588.0308599999998</v>
      </c>
      <c r="CU39">
        <f t="shared" si="34"/>
        <v>0</v>
      </c>
      <c r="CV39">
        <f t="shared" si="35"/>
        <v>6.4713374999999989</v>
      </c>
      <c r="CW39">
        <f t="shared" si="36"/>
        <v>0</v>
      </c>
      <c r="CX39">
        <f t="shared" si="37"/>
        <v>0</v>
      </c>
      <c r="CY39">
        <f t="shared" si="38"/>
        <v>10747.08</v>
      </c>
      <c r="CZ39">
        <f t="shared" si="39"/>
        <v>5439.88</v>
      </c>
      <c r="DC39" t="s">
        <v>3</v>
      </c>
      <c r="DD39" t="s">
        <v>3</v>
      </c>
      <c r="DE39" t="s">
        <v>17</v>
      </c>
      <c r="DF39" t="s">
        <v>17</v>
      </c>
      <c r="DG39" t="s">
        <v>18</v>
      </c>
      <c r="DH39" t="s">
        <v>3</v>
      </c>
      <c r="DI39" t="s">
        <v>18</v>
      </c>
      <c r="DJ39" t="s">
        <v>17</v>
      </c>
      <c r="DK39" t="s">
        <v>3</v>
      </c>
      <c r="DL39" t="s">
        <v>3</v>
      </c>
      <c r="DM39" t="s">
        <v>3</v>
      </c>
      <c r="DN39">
        <v>100</v>
      </c>
      <c r="DO39">
        <v>64</v>
      </c>
      <c r="DP39">
        <v>1.0249999999999999</v>
      </c>
      <c r="DQ39">
        <v>1</v>
      </c>
      <c r="DU39">
        <v>1005</v>
      </c>
      <c r="DV39" t="s">
        <v>90</v>
      </c>
      <c r="DW39" t="s">
        <v>90</v>
      </c>
      <c r="DX39">
        <v>100</v>
      </c>
      <c r="EE39">
        <v>41867569</v>
      </c>
      <c r="EF39">
        <v>30</v>
      </c>
      <c r="EG39" t="s">
        <v>19</v>
      </c>
      <c r="EH39">
        <v>0</v>
      </c>
      <c r="EI39" t="s">
        <v>3</v>
      </c>
      <c r="EJ39">
        <v>1</v>
      </c>
      <c r="EK39">
        <v>121</v>
      </c>
      <c r="EL39" t="s">
        <v>72</v>
      </c>
      <c r="EM39" t="s">
        <v>73</v>
      </c>
      <c r="EO39" t="s">
        <v>22</v>
      </c>
      <c r="EQ39">
        <v>0</v>
      </c>
      <c r="ER39">
        <v>66.040000000000006</v>
      </c>
      <c r="ES39">
        <v>0</v>
      </c>
      <c r="ET39">
        <v>0</v>
      </c>
      <c r="EU39">
        <v>0</v>
      </c>
      <c r="EV39">
        <v>66.040000000000006</v>
      </c>
      <c r="EW39">
        <v>5.49</v>
      </c>
      <c r="EX39">
        <v>0</v>
      </c>
      <c r="EY39">
        <v>0</v>
      </c>
      <c r="FQ39">
        <v>0</v>
      </c>
      <c r="FR39">
        <f t="shared" si="40"/>
        <v>0</v>
      </c>
      <c r="FS39">
        <v>0</v>
      </c>
      <c r="FX39">
        <v>100</v>
      </c>
      <c r="FY39">
        <v>64</v>
      </c>
      <c r="GA39" t="s">
        <v>3</v>
      </c>
      <c r="GD39">
        <v>0</v>
      </c>
      <c r="GF39">
        <v>-825624482</v>
      </c>
      <c r="GG39">
        <v>2</v>
      </c>
      <c r="GH39">
        <v>1</v>
      </c>
      <c r="GI39">
        <v>2</v>
      </c>
      <c r="GJ39">
        <v>0</v>
      </c>
      <c r="GK39">
        <f>ROUND(R39*(R12)/100,2)</f>
        <v>0</v>
      </c>
      <c r="GL39">
        <f t="shared" si="41"/>
        <v>0</v>
      </c>
      <c r="GM39">
        <f>ROUND(O39+X39+Y39+GK39,2)+GX39</f>
        <v>29454.959999999999</v>
      </c>
      <c r="GN39">
        <f>IF(OR(BI39=0,BI39=1),ROUND(O39+X39+Y39+GK39,2),0)</f>
        <v>29454.959999999999</v>
      </c>
      <c r="GO39">
        <f>IF(BI39=2,ROUND(O39+X39+Y39+GK39,2),0)</f>
        <v>0</v>
      </c>
      <c r="GP39">
        <f>IF(BI39=4,ROUND(O39+X39+Y39+GK39,2)+GX39,0)</f>
        <v>0</v>
      </c>
      <c r="GR39">
        <v>0</v>
      </c>
      <c r="GS39">
        <v>3</v>
      </c>
      <c r="GT39">
        <v>0</v>
      </c>
      <c r="GU39" t="s">
        <v>3</v>
      </c>
      <c r="GV39">
        <f t="shared" si="42"/>
        <v>0</v>
      </c>
      <c r="GW39">
        <v>1</v>
      </c>
      <c r="GX39">
        <f t="shared" si="43"/>
        <v>0</v>
      </c>
      <c r="HA39">
        <v>0</v>
      </c>
      <c r="HB39">
        <v>0</v>
      </c>
      <c r="HC39">
        <f t="shared" si="44"/>
        <v>0</v>
      </c>
      <c r="IK39">
        <v>0</v>
      </c>
    </row>
    <row r="40" spans="1:245" x14ac:dyDescent="0.2">
      <c r="A40">
        <v>18</v>
      </c>
      <c r="B40">
        <v>1</v>
      </c>
      <c r="C40">
        <v>44</v>
      </c>
      <c r="E40" t="s">
        <v>92</v>
      </c>
      <c r="F40" t="s">
        <v>75</v>
      </c>
      <c r="G40" t="s">
        <v>76</v>
      </c>
      <c r="H40" t="s">
        <v>77</v>
      </c>
      <c r="I40">
        <f>I39*J40</f>
        <v>0.12532499999999999</v>
      </c>
      <c r="J40">
        <v>1.4999999999999998E-2</v>
      </c>
      <c r="O40">
        <f t="shared" si="14"/>
        <v>5280.31</v>
      </c>
      <c r="P40">
        <f t="shared" si="15"/>
        <v>5280.31</v>
      </c>
      <c r="Q40">
        <f t="shared" si="16"/>
        <v>0</v>
      </c>
      <c r="R40">
        <f t="shared" si="17"/>
        <v>0</v>
      </c>
      <c r="S40">
        <f t="shared" si="18"/>
        <v>0</v>
      </c>
      <c r="T40">
        <f t="shared" si="19"/>
        <v>0</v>
      </c>
      <c r="U40">
        <f t="shared" si="20"/>
        <v>0</v>
      </c>
      <c r="V40">
        <f t="shared" si="21"/>
        <v>0</v>
      </c>
      <c r="W40">
        <f t="shared" si="22"/>
        <v>0</v>
      </c>
      <c r="X40">
        <f t="shared" si="23"/>
        <v>0</v>
      </c>
      <c r="Y40">
        <f t="shared" si="24"/>
        <v>0</v>
      </c>
      <c r="AA40">
        <v>44962055</v>
      </c>
      <c r="AB40">
        <f t="shared" si="25"/>
        <v>22652.13</v>
      </c>
      <c r="AC40">
        <f t="shared" si="26"/>
        <v>22652.13</v>
      </c>
      <c r="AD40">
        <f>ROUND((ET40),6)</f>
        <v>0</v>
      </c>
      <c r="AE40">
        <f>ROUND((EU40),6)</f>
        <v>0</v>
      </c>
      <c r="AF40">
        <f>ROUND((EV40),6)</f>
        <v>0</v>
      </c>
      <c r="AG40">
        <f t="shared" si="27"/>
        <v>0</v>
      </c>
      <c r="AH40">
        <f>(EW40)</f>
        <v>0</v>
      </c>
      <c r="AI40">
        <f>(EX40)</f>
        <v>0</v>
      </c>
      <c r="AJ40">
        <f t="shared" si="28"/>
        <v>0</v>
      </c>
      <c r="AK40">
        <v>22652.13</v>
      </c>
      <c r="AL40">
        <v>22652.13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1.86</v>
      </c>
      <c r="BD40" t="s">
        <v>3</v>
      </c>
      <c r="BE40" t="s">
        <v>3</v>
      </c>
      <c r="BF40" t="s">
        <v>3</v>
      </c>
      <c r="BG40" t="s">
        <v>3</v>
      </c>
      <c r="BH40">
        <v>3</v>
      </c>
      <c r="BI40">
        <v>1</v>
      </c>
      <c r="BJ40" t="s">
        <v>78</v>
      </c>
      <c r="BM40">
        <v>121</v>
      </c>
      <c r="BN40">
        <v>0</v>
      </c>
      <c r="BO40" t="s">
        <v>75</v>
      </c>
      <c r="BP40">
        <v>1</v>
      </c>
      <c r="BQ40">
        <v>30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0</v>
      </c>
      <c r="CA40">
        <v>0</v>
      </c>
      <c r="CE40">
        <v>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29"/>
        <v>5280.31</v>
      </c>
      <c r="CQ40">
        <f t="shared" si="30"/>
        <v>42132.961800000005</v>
      </c>
      <c r="CR40">
        <f t="shared" si="31"/>
        <v>0</v>
      </c>
      <c r="CS40">
        <f t="shared" si="32"/>
        <v>0</v>
      </c>
      <c r="CT40">
        <f t="shared" si="33"/>
        <v>0</v>
      </c>
      <c r="CU40">
        <f t="shared" si="34"/>
        <v>0</v>
      </c>
      <c r="CV40">
        <f t="shared" si="35"/>
        <v>0</v>
      </c>
      <c r="CW40">
        <f t="shared" si="36"/>
        <v>0</v>
      </c>
      <c r="CX40">
        <f t="shared" si="37"/>
        <v>0</v>
      </c>
      <c r="CY40">
        <f t="shared" si="38"/>
        <v>0</v>
      </c>
      <c r="CZ40">
        <f t="shared" si="39"/>
        <v>0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100</v>
      </c>
      <c r="DO40">
        <v>64</v>
      </c>
      <c r="DP40">
        <v>1.0249999999999999</v>
      </c>
      <c r="DQ40">
        <v>1</v>
      </c>
      <c r="DU40">
        <v>1009</v>
      </c>
      <c r="DV40" t="s">
        <v>77</v>
      </c>
      <c r="DW40" t="s">
        <v>77</v>
      </c>
      <c r="DX40">
        <v>1000</v>
      </c>
      <c r="EE40">
        <v>41867569</v>
      </c>
      <c r="EF40">
        <v>30</v>
      </c>
      <c r="EG40" t="s">
        <v>19</v>
      </c>
      <c r="EH40">
        <v>0</v>
      </c>
      <c r="EI40" t="s">
        <v>3</v>
      </c>
      <c r="EJ40">
        <v>1</v>
      </c>
      <c r="EK40">
        <v>121</v>
      </c>
      <c r="EL40" t="s">
        <v>72</v>
      </c>
      <c r="EM40" t="s">
        <v>73</v>
      </c>
      <c r="EO40" t="s">
        <v>3</v>
      </c>
      <c r="EQ40">
        <v>0</v>
      </c>
      <c r="ER40">
        <v>22652.13</v>
      </c>
      <c r="ES40">
        <v>22652.13</v>
      </c>
      <c r="ET40">
        <v>0</v>
      </c>
      <c r="EU40">
        <v>0</v>
      </c>
      <c r="EV40">
        <v>0</v>
      </c>
      <c r="EW40">
        <v>0</v>
      </c>
      <c r="EX40">
        <v>0</v>
      </c>
      <c r="FQ40">
        <v>0</v>
      </c>
      <c r="FR40">
        <f t="shared" si="40"/>
        <v>0</v>
      </c>
      <c r="FS40">
        <v>0</v>
      </c>
      <c r="FX40">
        <v>100</v>
      </c>
      <c r="FY40">
        <v>64</v>
      </c>
      <c r="GA40" t="s">
        <v>3</v>
      </c>
      <c r="GD40">
        <v>1</v>
      </c>
      <c r="GF40">
        <v>-908598485</v>
      </c>
      <c r="GG40">
        <v>2</v>
      </c>
      <c r="GH40">
        <v>1</v>
      </c>
      <c r="GI40">
        <v>2</v>
      </c>
      <c r="GJ40">
        <v>0</v>
      </c>
      <c r="GK40">
        <v>0</v>
      </c>
      <c r="GL40">
        <f t="shared" si="41"/>
        <v>0</v>
      </c>
      <c r="GM40">
        <f>ROUND(O40+X40+Y40,2)+GX40</f>
        <v>5280.31</v>
      </c>
      <c r="GN40">
        <f>IF(OR(BI40=0,BI40=1),ROUND(O40+X40+Y40,2),0)</f>
        <v>5280.31</v>
      </c>
      <c r="GO40">
        <f>IF(BI40=2,ROUND(O40+X40+Y40,2),0)</f>
        <v>0</v>
      </c>
      <c r="GP40">
        <f>IF(BI40=4,ROUND(O40+X40+Y40,2)+GX40,0)</f>
        <v>0</v>
      </c>
      <c r="GR40">
        <v>0</v>
      </c>
      <c r="GS40">
        <v>3</v>
      </c>
      <c r="GT40">
        <v>0</v>
      </c>
      <c r="GU40" t="s">
        <v>3</v>
      </c>
      <c r="GV40">
        <f t="shared" si="42"/>
        <v>0</v>
      </c>
      <c r="GW40">
        <v>1</v>
      </c>
      <c r="GX40">
        <f t="shared" si="43"/>
        <v>0</v>
      </c>
      <c r="HA40">
        <v>0</v>
      </c>
      <c r="HB40">
        <v>0</v>
      </c>
      <c r="HC40">
        <f t="shared" si="44"/>
        <v>0</v>
      </c>
      <c r="IK40">
        <v>0</v>
      </c>
    </row>
    <row r="41" spans="1:245" x14ac:dyDescent="0.2">
      <c r="A41">
        <v>17</v>
      </c>
      <c r="B41">
        <v>1</v>
      </c>
      <c r="C41">
        <f>ROW(SmtRes!A54)</f>
        <v>54</v>
      </c>
      <c r="D41">
        <f>ROW(EtalonRes!A52)</f>
        <v>52</v>
      </c>
      <c r="E41" t="s">
        <v>93</v>
      </c>
      <c r="F41" t="s">
        <v>94</v>
      </c>
      <c r="G41" t="s">
        <v>95</v>
      </c>
      <c r="H41" t="s">
        <v>96</v>
      </c>
      <c r="I41">
        <f>ROUND(2.5*395/1000,9)</f>
        <v>0.98750000000000004</v>
      </c>
      <c r="J41">
        <v>0</v>
      </c>
      <c r="O41">
        <f t="shared" si="14"/>
        <v>27193.65</v>
      </c>
      <c r="P41">
        <f t="shared" si="15"/>
        <v>3672.07</v>
      </c>
      <c r="Q41">
        <f t="shared" si="16"/>
        <v>1682.52</v>
      </c>
      <c r="R41">
        <f t="shared" si="17"/>
        <v>402.64</v>
      </c>
      <c r="S41">
        <f t="shared" si="18"/>
        <v>21839.06</v>
      </c>
      <c r="T41">
        <f t="shared" si="19"/>
        <v>0</v>
      </c>
      <c r="U41">
        <f t="shared" si="20"/>
        <v>81.101681437499991</v>
      </c>
      <c r="V41">
        <f t="shared" si="21"/>
        <v>0</v>
      </c>
      <c r="W41">
        <f t="shared" si="22"/>
        <v>0</v>
      </c>
      <c r="X41">
        <f t="shared" si="23"/>
        <v>14850.56</v>
      </c>
      <c r="Y41">
        <f t="shared" si="24"/>
        <v>8954.01</v>
      </c>
      <c r="AA41">
        <v>44962055</v>
      </c>
      <c r="AB41">
        <f t="shared" si="25"/>
        <v>1594.191</v>
      </c>
      <c r="AC41">
        <f t="shared" si="26"/>
        <v>432.39</v>
      </c>
      <c r="AD41">
        <f>ROUND(((ET41*1.25)),6)</f>
        <v>164.47499999999999</v>
      </c>
      <c r="AE41">
        <f>ROUND(((EU41*1.25)),6)</f>
        <v>18.387499999999999</v>
      </c>
      <c r="AF41">
        <f>ROUND(((EV41*1.15)),6)</f>
        <v>997.32600000000002</v>
      </c>
      <c r="AG41">
        <f t="shared" si="27"/>
        <v>0</v>
      </c>
      <c r="AH41">
        <f>((EW41*1.15))</f>
        <v>75.554999999999993</v>
      </c>
      <c r="AI41">
        <f>((EX41*1.25))</f>
        <v>0</v>
      </c>
      <c r="AJ41">
        <f t="shared" si="28"/>
        <v>0</v>
      </c>
      <c r="AK41">
        <v>1431.21</v>
      </c>
      <c r="AL41">
        <v>432.39</v>
      </c>
      <c r="AM41">
        <v>131.58000000000001</v>
      </c>
      <c r="AN41">
        <v>14.71</v>
      </c>
      <c r="AO41">
        <v>867.24</v>
      </c>
      <c r="AP41">
        <v>0</v>
      </c>
      <c r="AQ41">
        <v>65.7</v>
      </c>
      <c r="AR41">
        <v>0</v>
      </c>
      <c r="AS41">
        <v>0</v>
      </c>
      <c r="AT41">
        <v>68</v>
      </c>
      <c r="AU41">
        <v>41</v>
      </c>
      <c r="AV41">
        <v>1.087</v>
      </c>
      <c r="AW41">
        <v>1</v>
      </c>
      <c r="AZ41">
        <v>1</v>
      </c>
      <c r="BA41">
        <v>20.399999999999999</v>
      </c>
      <c r="BB41">
        <v>9.5299999999999994</v>
      </c>
      <c r="BC41">
        <v>8.6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97</v>
      </c>
      <c r="BM41">
        <v>80</v>
      </c>
      <c r="BN41">
        <v>0</v>
      </c>
      <c r="BO41" t="s">
        <v>94</v>
      </c>
      <c r="BP41">
        <v>1</v>
      </c>
      <c r="BQ41">
        <v>30</v>
      </c>
      <c r="BR41">
        <v>0</v>
      </c>
      <c r="BS41">
        <v>20.399999999999999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68</v>
      </c>
      <c r="CA41">
        <v>41</v>
      </c>
      <c r="CE41">
        <v>0</v>
      </c>
      <c r="CF41">
        <v>0</v>
      </c>
      <c r="CG41">
        <v>0</v>
      </c>
      <c r="CM41">
        <v>0</v>
      </c>
      <c r="CN41" t="s">
        <v>16</v>
      </c>
      <c r="CO41">
        <v>0</v>
      </c>
      <c r="CP41">
        <f t="shared" si="29"/>
        <v>27193.65</v>
      </c>
      <c r="CQ41">
        <f t="shared" si="30"/>
        <v>3718.5539999999996</v>
      </c>
      <c r="CR41">
        <f t="shared" si="31"/>
        <v>1703.8146172499999</v>
      </c>
      <c r="CS41">
        <f t="shared" si="32"/>
        <v>407.73913499999992</v>
      </c>
      <c r="CT41">
        <f t="shared" si="33"/>
        <v>22115.504584799997</v>
      </c>
      <c r="CU41">
        <f t="shared" si="34"/>
        <v>0</v>
      </c>
      <c r="CV41">
        <f t="shared" si="35"/>
        <v>82.128284999999991</v>
      </c>
      <c r="CW41">
        <f t="shared" si="36"/>
        <v>0</v>
      </c>
      <c r="CX41">
        <f t="shared" si="37"/>
        <v>0</v>
      </c>
      <c r="CY41">
        <f t="shared" si="38"/>
        <v>14850.560800000001</v>
      </c>
      <c r="CZ41">
        <f t="shared" si="39"/>
        <v>8954.0146000000004</v>
      </c>
      <c r="DC41" t="s">
        <v>3</v>
      </c>
      <c r="DD41" t="s">
        <v>3</v>
      </c>
      <c r="DE41" t="s">
        <v>17</v>
      </c>
      <c r="DF41" t="s">
        <v>17</v>
      </c>
      <c r="DG41" t="s">
        <v>18</v>
      </c>
      <c r="DH41" t="s">
        <v>3</v>
      </c>
      <c r="DI41" t="s">
        <v>18</v>
      </c>
      <c r="DJ41" t="s">
        <v>17</v>
      </c>
      <c r="DK41" t="s">
        <v>3</v>
      </c>
      <c r="DL41" t="s">
        <v>3</v>
      </c>
      <c r="DM41" t="s">
        <v>3</v>
      </c>
      <c r="DN41">
        <v>85</v>
      </c>
      <c r="DO41">
        <v>70</v>
      </c>
      <c r="DP41">
        <v>1.087</v>
      </c>
      <c r="DQ41">
        <v>1</v>
      </c>
      <c r="DU41">
        <v>1013</v>
      </c>
      <c r="DV41" t="s">
        <v>96</v>
      </c>
      <c r="DW41" t="s">
        <v>96</v>
      </c>
      <c r="DX41">
        <v>1</v>
      </c>
      <c r="EE41">
        <v>41867528</v>
      </c>
      <c r="EF41">
        <v>30</v>
      </c>
      <c r="EG41" t="s">
        <v>19</v>
      </c>
      <c r="EH41">
        <v>0</v>
      </c>
      <c r="EI41" t="s">
        <v>3</v>
      </c>
      <c r="EJ41">
        <v>1</v>
      </c>
      <c r="EK41">
        <v>80</v>
      </c>
      <c r="EL41" t="s">
        <v>98</v>
      </c>
      <c r="EM41" t="s">
        <v>99</v>
      </c>
      <c r="EO41" t="s">
        <v>22</v>
      </c>
      <c r="EQ41">
        <v>0</v>
      </c>
      <c r="ER41">
        <v>1431.21</v>
      </c>
      <c r="ES41">
        <v>432.39</v>
      </c>
      <c r="ET41">
        <v>131.58000000000001</v>
      </c>
      <c r="EU41">
        <v>14.71</v>
      </c>
      <c r="EV41">
        <v>867.24</v>
      </c>
      <c r="EW41">
        <v>65.7</v>
      </c>
      <c r="EX41">
        <v>0</v>
      </c>
      <c r="EY41">
        <v>0</v>
      </c>
      <c r="FQ41">
        <v>0</v>
      </c>
      <c r="FR41">
        <f t="shared" si="40"/>
        <v>0</v>
      </c>
      <c r="FS41">
        <v>0</v>
      </c>
      <c r="FX41">
        <v>85</v>
      </c>
      <c r="FY41">
        <v>70</v>
      </c>
      <c r="GA41" t="s">
        <v>3</v>
      </c>
      <c r="GD41">
        <v>0</v>
      </c>
      <c r="GF41">
        <v>154508397</v>
      </c>
      <c r="GG41">
        <v>2</v>
      </c>
      <c r="GH41">
        <v>1</v>
      </c>
      <c r="GI41">
        <v>2</v>
      </c>
      <c r="GJ41">
        <v>0</v>
      </c>
      <c r="GK41">
        <f>ROUND(R41*(R12)/100,2)</f>
        <v>632.14</v>
      </c>
      <c r="GL41">
        <f t="shared" si="41"/>
        <v>0</v>
      </c>
      <c r="GM41">
        <f>ROUND(O41+X41+Y41+GK41,2)+GX41</f>
        <v>51630.36</v>
      </c>
      <c r="GN41">
        <f>IF(OR(BI41=0,BI41=1),ROUND(O41+X41+Y41+GK41,2),0)</f>
        <v>51630.36</v>
      </c>
      <c r="GO41">
        <f>IF(BI41=2,ROUND(O41+X41+Y41+GK41,2),0)</f>
        <v>0</v>
      </c>
      <c r="GP41">
        <f>IF(BI41=4,ROUND(O41+X41+Y41+GK41,2)+GX41,0)</f>
        <v>0</v>
      </c>
      <c r="GR41">
        <v>0</v>
      </c>
      <c r="GS41">
        <v>3</v>
      </c>
      <c r="GT41">
        <v>0</v>
      </c>
      <c r="GU41" t="s">
        <v>3</v>
      </c>
      <c r="GV41">
        <f t="shared" si="42"/>
        <v>0</v>
      </c>
      <c r="GW41">
        <v>1</v>
      </c>
      <c r="GX41">
        <f t="shared" si="43"/>
        <v>0</v>
      </c>
      <c r="HA41">
        <v>0</v>
      </c>
      <c r="HB41">
        <v>0</v>
      </c>
      <c r="HC41">
        <f t="shared" si="44"/>
        <v>0</v>
      </c>
      <c r="IK41">
        <v>0</v>
      </c>
    </row>
    <row r="42" spans="1:245" x14ac:dyDescent="0.2">
      <c r="A42">
        <v>18</v>
      </c>
      <c r="B42">
        <v>1</v>
      </c>
      <c r="C42">
        <v>53</v>
      </c>
      <c r="E42" t="s">
        <v>100</v>
      </c>
      <c r="F42" t="s">
        <v>101</v>
      </c>
      <c r="G42" t="s">
        <v>102</v>
      </c>
      <c r="H42" t="s">
        <v>77</v>
      </c>
      <c r="I42">
        <f>I41*J42</f>
        <v>0.98750000000000004</v>
      </c>
      <c r="J42">
        <v>1</v>
      </c>
      <c r="O42">
        <f t="shared" si="14"/>
        <v>62921.24</v>
      </c>
      <c r="P42">
        <f t="shared" si="15"/>
        <v>62921.24</v>
      </c>
      <c r="Q42">
        <f t="shared" si="16"/>
        <v>0</v>
      </c>
      <c r="R42">
        <f t="shared" si="17"/>
        <v>0</v>
      </c>
      <c r="S42">
        <f t="shared" si="18"/>
        <v>0</v>
      </c>
      <c r="T42">
        <f t="shared" si="19"/>
        <v>0</v>
      </c>
      <c r="U42">
        <f t="shared" si="20"/>
        <v>0</v>
      </c>
      <c r="V42">
        <f t="shared" si="21"/>
        <v>0</v>
      </c>
      <c r="W42">
        <f t="shared" si="22"/>
        <v>0</v>
      </c>
      <c r="X42">
        <f t="shared" si="23"/>
        <v>0</v>
      </c>
      <c r="Y42">
        <f t="shared" si="24"/>
        <v>0</v>
      </c>
      <c r="AA42">
        <v>44962055</v>
      </c>
      <c r="AB42">
        <f t="shared" si="25"/>
        <v>19485.54</v>
      </c>
      <c r="AC42">
        <f t="shared" si="26"/>
        <v>19485.54</v>
      </c>
      <c r="AD42">
        <f>ROUND((ET42),6)</f>
        <v>0</v>
      </c>
      <c r="AE42">
        <f>ROUND((EU42),6)</f>
        <v>0</v>
      </c>
      <c r="AF42">
        <f>ROUND((EV42),6)</f>
        <v>0</v>
      </c>
      <c r="AG42">
        <f t="shared" si="27"/>
        <v>0</v>
      </c>
      <c r="AH42">
        <f>(EW42)</f>
        <v>0</v>
      </c>
      <c r="AI42">
        <f>(EX42)</f>
        <v>0</v>
      </c>
      <c r="AJ42">
        <f t="shared" si="28"/>
        <v>0</v>
      </c>
      <c r="AK42">
        <v>19485.54</v>
      </c>
      <c r="AL42">
        <v>19485.54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3.27</v>
      </c>
      <c r="BD42" t="s">
        <v>3</v>
      </c>
      <c r="BE42" t="s">
        <v>3</v>
      </c>
      <c r="BF42" t="s">
        <v>3</v>
      </c>
      <c r="BG42" t="s">
        <v>3</v>
      </c>
      <c r="BH42">
        <v>3</v>
      </c>
      <c r="BI42">
        <v>1</v>
      </c>
      <c r="BJ42" t="s">
        <v>103</v>
      </c>
      <c r="BM42">
        <v>80</v>
      </c>
      <c r="BN42">
        <v>0</v>
      </c>
      <c r="BO42" t="s">
        <v>101</v>
      </c>
      <c r="BP42">
        <v>1</v>
      </c>
      <c r="BQ42">
        <v>30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3</v>
      </c>
      <c r="BZ42">
        <v>0</v>
      </c>
      <c r="CA42">
        <v>0</v>
      </c>
      <c r="CE42">
        <v>0</v>
      </c>
      <c r="CF42">
        <v>0</v>
      </c>
      <c r="CG42">
        <v>0</v>
      </c>
      <c r="CM42">
        <v>0</v>
      </c>
      <c r="CN42" t="s">
        <v>3</v>
      </c>
      <c r="CO42">
        <v>0</v>
      </c>
      <c r="CP42">
        <f t="shared" si="29"/>
        <v>62921.24</v>
      </c>
      <c r="CQ42">
        <f t="shared" si="30"/>
        <v>63717.715800000005</v>
      </c>
      <c r="CR42">
        <f t="shared" si="31"/>
        <v>0</v>
      </c>
      <c r="CS42">
        <f t="shared" si="32"/>
        <v>0</v>
      </c>
      <c r="CT42">
        <f t="shared" si="33"/>
        <v>0</v>
      </c>
      <c r="CU42">
        <f t="shared" si="34"/>
        <v>0</v>
      </c>
      <c r="CV42">
        <f t="shared" si="35"/>
        <v>0</v>
      </c>
      <c r="CW42">
        <f t="shared" si="36"/>
        <v>0</v>
      </c>
      <c r="CX42">
        <f t="shared" si="37"/>
        <v>0</v>
      </c>
      <c r="CY42">
        <f t="shared" si="38"/>
        <v>0</v>
      </c>
      <c r="CZ42">
        <f t="shared" si="39"/>
        <v>0</v>
      </c>
      <c r="DC42" t="s">
        <v>3</v>
      </c>
      <c r="DD42" t="s">
        <v>3</v>
      </c>
      <c r="DE42" t="s">
        <v>3</v>
      </c>
      <c r="DF42" t="s">
        <v>3</v>
      </c>
      <c r="DG42" t="s">
        <v>3</v>
      </c>
      <c r="DH42" t="s">
        <v>3</v>
      </c>
      <c r="DI42" t="s">
        <v>3</v>
      </c>
      <c r="DJ42" t="s">
        <v>3</v>
      </c>
      <c r="DK42" t="s">
        <v>3</v>
      </c>
      <c r="DL42" t="s">
        <v>3</v>
      </c>
      <c r="DM42" t="s">
        <v>3</v>
      </c>
      <c r="DN42">
        <v>85</v>
      </c>
      <c r="DO42">
        <v>70</v>
      </c>
      <c r="DP42">
        <v>1.087</v>
      </c>
      <c r="DQ42">
        <v>1</v>
      </c>
      <c r="DU42">
        <v>1009</v>
      </c>
      <c r="DV42" t="s">
        <v>77</v>
      </c>
      <c r="DW42" t="s">
        <v>77</v>
      </c>
      <c r="DX42">
        <v>1000</v>
      </c>
      <c r="EE42">
        <v>41867528</v>
      </c>
      <c r="EF42">
        <v>30</v>
      </c>
      <c r="EG42" t="s">
        <v>19</v>
      </c>
      <c r="EH42">
        <v>0</v>
      </c>
      <c r="EI42" t="s">
        <v>3</v>
      </c>
      <c r="EJ42">
        <v>1</v>
      </c>
      <c r="EK42">
        <v>80</v>
      </c>
      <c r="EL42" t="s">
        <v>98</v>
      </c>
      <c r="EM42" t="s">
        <v>99</v>
      </c>
      <c r="EO42" t="s">
        <v>3</v>
      </c>
      <c r="EQ42">
        <v>0</v>
      </c>
      <c r="ER42">
        <v>19485.54</v>
      </c>
      <c r="ES42">
        <v>19485.54</v>
      </c>
      <c r="ET42">
        <v>0</v>
      </c>
      <c r="EU42">
        <v>0</v>
      </c>
      <c r="EV42">
        <v>0</v>
      </c>
      <c r="EW42">
        <v>0</v>
      </c>
      <c r="EX42">
        <v>0</v>
      </c>
      <c r="FQ42">
        <v>0</v>
      </c>
      <c r="FR42">
        <f t="shared" si="40"/>
        <v>0</v>
      </c>
      <c r="FS42">
        <v>0</v>
      </c>
      <c r="FX42">
        <v>85</v>
      </c>
      <c r="FY42">
        <v>70</v>
      </c>
      <c r="GA42" t="s">
        <v>3</v>
      </c>
      <c r="GD42">
        <v>1</v>
      </c>
      <c r="GF42">
        <v>1679822580</v>
      </c>
      <c r="GG42">
        <v>2</v>
      </c>
      <c r="GH42">
        <v>1</v>
      </c>
      <c r="GI42">
        <v>2</v>
      </c>
      <c r="GJ42">
        <v>0</v>
      </c>
      <c r="GK42">
        <v>0</v>
      </c>
      <c r="GL42">
        <f t="shared" si="41"/>
        <v>0</v>
      </c>
      <c r="GM42">
        <f>ROUND(O42+X42+Y42,2)+GX42</f>
        <v>62921.24</v>
      </c>
      <c r="GN42">
        <f>IF(OR(BI42=0,BI42=1),ROUND(O42+X42+Y42,2),0)</f>
        <v>62921.24</v>
      </c>
      <c r="GO42">
        <f>IF(BI42=2,ROUND(O42+X42+Y42,2),0)</f>
        <v>0</v>
      </c>
      <c r="GP42">
        <f>IF(BI42=4,ROUND(O42+X42+Y42,2)+GX42,0)</f>
        <v>0</v>
      </c>
      <c r="GR42">
        <v>0</v>
      </c>
      <c r="GS42">
        <v>3</v>
      </c>
      <c r="GT42">
        <v>0</v>
      </c>
      <c r="GU42" t="s">
        <v>3</v>
      </c>
      <c r="GV42">
        <f t="shared" si="42"/>
        <v>0</v>
      </c>
      <c r="GW42">
        <v>1</v>
      </c>
      <c r="GX42">
        <f t="shared" si="43"/>
        <v>0</v>
      </c>
      <c r="HA42">
        <v>0</v>
      </c>
      <c r="HB42">
        <v>0</v>
      </c>
      <c r="HC42">
        <f t="shared" si="44"/>
        <v>0</v>
      </c>
      <c r="IK42">
        <v>0</v>
      </c>
    </row>
    <row r="43" spans="1:245" x14ac:dyDescent="0.2">
      <c r="A43">
        <v>17</v>
      </c>
      <c r="B43">
        <v>1</v>
      </c>
      <c r="C43">
        <f>ROW(SmtRes!A60)</f>
        <v>60</v>
      </c>
      <c r="D43">
        <f>ROW(EtalonRes!A58)</f>
        <v>58</v>
      </c>
      <c r="E43" t="s">
        <v>104</v>
      </c>
      <c r="F43" t="s">
        <v>105</v>
      </c>
      <c r="G43" t="s">
        <v>106</v>
      </c>
      <c r="H43" t="s">
        <v>14</v>
      </c>
      <c r="I43">
        <f>ROUND(395/100,9)</f>
        <v>3.95</v>
      </c>
      <c r="J43">
        <v>0</v>
      </c>
      <c r="O43">
        <f t="shared" si="14"/>
        <v>200730.58</v>
      </c>
      <c r="P43">
        <f t="shared" si="15"/>
        <v>959.99</v>
      </c>
      <c r="Q43">
        <f t="shared" si="16"/>
        <v>836.78</v>
      </c>
      <c r="R43">
        <f t="shared" si="17"/>
        <v>405.75</v>
      </c>
      <c r="S43">
        <f t="shared" si="18"/>
        <v>198933.81</v>
      </c>
      <c r="T43">
        <f t="shared" si="19"/>
        <v>0</v>
      </c>
      <c r="U43">
        <f t="shared" si="20"/>
        <v>819.46699999999987</v>
      </c>
      <c r="V43">
        <f t="shared" si="21"/>
        <v>0</v>
      </c>
      <c r="W43">
        <f t="shared" si="22"/>
        <v>0</v>
      </c>
      <c r="X43">
        <f t="shared" si="23"/>
        <v>161136.39000000001</v>
      </c>
      <c r="Y43">
        <f t="shared" si="24"/>
        <v>81562.86</v>
      </c>
      <c r="AA43">
        <v>44962055</v>
      </c>
      <c r="AB43">
        <f t="shared" si="25"/>
        <v>2484.9549999999999</v>
      </c>
      <c r="AC43">
        <f t="shared" si="26"/>
        <v>51.82</v>
      </c>
      <c r="AD43">
        <f>ROUND(((ET43*1.25)),6)</f>
        <v>24.574999999999999</v>
      </c>
      <c r="AE43">
        <f>ROUND(((EU43*1.25)),6)</f>
        <v>4.9124999999999996</v>
      </c>
      <c r="AF43">
        <f>ROUND(((EV43*1.15)),6)</f>
        <v>2408.56</v>
      </c>
      <c r="AG43">
        <f t="shared" si="27"/>
        <v>0</v>
      </c>
      <c r="AH43">
        <f>((EW43*1.15))</f>
        <v>202.39999999999998</v>
      </c>
      <c r="AI43">
        <f>((EX43*1.25))</f>
        <v>0</v>
      </c>
      <c r="AJ43">
        <f t="shared" si="28"/>
        <v>0</v>
      </c>
      <c r="AK43">
        <v>2165.88</v>
      </c>
      <c r="AL43">
        <v>51.82</v>
      </c>
      <c r="AM43">
        <v>19.66</v>
      </c>
      <c r="AN43">
        <v>3.93</v>
      </c>
      <c r="AO43">
        <v>2094.4</v>
      </c>
      <c r="AP43">
        <v>0</v>
      </c>
      <c r="AQ43">
        <v>176</v>
      </c>
      <c r="AR43">
        <v>0</v>
      </c>
      <c r="AS43">
        <v>0</v>
      </c>
      <c r="AT43">
        <v>81</v>
      </c>
      <c r="AU43">
        <v>41</v>
      </c>
      <c r="AV43">
        <v>1.0249999999999999</v>
      </c>
      <c r="AW43">
        <v>1</v>
      </c>
      <c r="AZ43">
        <v>1</v>
      </c>
      <c r="BA43">
        <v>20.399999999999999</v>
      </c>
      <c r="BB43">
        <v>8.41</v>
      </c>
      <c r="BC43">
        <v>4.6900000000000004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107</v>
      </c>
      <c r="BM43">
        <v>113</v>
      </c>
      <c r="BN43">
        <v>0</v>
      </c>
      <c r="BO43" t="s">
        <v>105</v>
      </c>
      <c r="BP43">
        <v>1</v>
      </c>
      <c r="BQ43">
        <v>30</v>
      </c>
      <c r="BR43">
        <v>0</v>
      </c>
      <c r="BS43">
        <v>20.399999999999999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81</v>
      </c>
      <c r="CA43">
        <v>41</v>
      </c>
      <c r="CE43">
        <v>0</v>
      </c>
      <c r="CF43">
        <v>0</v>
      </c>
      <c r="CG43">
        <v>0</v>
      </c>
      <c r="CM43">
        <v>0</v>
      </c>
      <c r="CN43" t="s">
        <v>16</v>
      </c>
      <c r="CO43">
        <v>0</v>
      </c>
      <c r="CP43">
        <f t="shared" si="29"/>
        <v>200730.58</v>
      </c>
      <c r="CQ43">
        <f t="shared" si="30"/>
        <v>243.03580000000002</v>
      </c>
      <c r="CR43">
        <f t="shared" si="31"/>
        <v>211.84264374999998</v>
      </c>
      <c r="CS43">
        <f t="shared" si="32"/>
        <v>102.72037499999998</v>
      </c>
      <c r="CT43">
        <f t="shared" si="33"/>
        <v>50362.989599999994</v>
      </c>
      <c r="CU43">
        <f t="shared" si="34"/>
        <v>0</v>
      </c>
      <c r="CV43">
        <f t="shared" si="35"/>
        <v>207.45999999999995</v>
      </c>
      <c r="CW43">
        <f t="shared" si="36"/>
        <v>0</v>
      </c>
      <c r="CX43">
        <f t="shared" si="37"/>
        <v>0</v>
      </c>
      <c r="CY43">
        <f t="shared" si="38"/>
        <v>161136.3861</v>
      </c>
      <c r="CZ43">
        <f t="shared" si="39"/>
        <v>81562.862099999998</v>
      </c>
      <c r="DC43" t="s">
        <v>3</v>
      </c>
      <c r="DD43" t="s">
        <v>3</v>
      </c>
      <c r="DE43" t="s">
        <v>17</v>
      </c>
      <c r="DF43" t="s">
        <v>17</v>
      </c>
      <c r="DG43" t="s">
        <v>18</v>
      </c>
      <c r="DH43" t="s">
        <v>3</v>
      </c>
      <c r="DI43" t="s">
        <v>18</v>
      </c>
      <c r="DJ43" t="s">
        <v>17</v>
      </c>
      <c r="DK43" t="s">
        <v>3</v>
      </c>
      <c r="DL43" t="s">
        <v>3</v>
      </c>
      <c r="DM43" t="s">
        <v>3</v>
      </c>
      <c r="DN43">
        <v>100</v>
      </c>
      <c r="DO43">
        <v>64</v>
      </c>
      <c r="DP43">
        <v>1.0249999999999999</v>
      </c>
      <c r="DQ43">
        <v>1</v>
      </c>
      <c r="DU43">
        <v>1005</v>
      </c>
      <c r="DV43" t="s">
        <v>14</v>
      </c>
      <c r="DW43" t="s">
        <v>14</v>
      </c>
      <c r="DX43">
        <v>100</v>
      </c>
      <c r="EE43">
        <v>41867561</v>
      </c>
      <c r="EF43">
        <v>30</v>
      </c>
      <c r="EG43" t="s">
        <v>19</v>
      </c>
      <c r="EH43">
        <v>0</v>
      </c>
      <c r="EI43" t="s">
        <v>3</v>
      </c>
      <c r="EJ43">
        <v>1</v>
      </c>
      <c r="EK43">
        <v>113</v>
      </c>
      <c r="EL43" t="s">
        <v>108</v>
      </c>
      <c r="EM43" t="s">
        <v>109</v>
      </c>
      <c r="EO43" t="s">
        <v>22</v>
      </c>
      <c r="EQ43">
        <v>0</v>
      </c>
      <c r="ER43">
        <v>2165.88</v>
      </c>
      <c r="ES43">
        <v>51.82</v>
      </c>
      <c r="ET43">
        <v>19.66</v>
      </c>
      <c r="EU43">
        <v>3.93</v>
      </c>
      <c r="EV43">
        <v>2094.4</v>
      </c>
      <c r="EW43">
        <v>176</v>
      </c>
      <c r="EX43">
        <v>0</v>
      </c>
      <c r="EY43">
        <v>0</v>
      </c>
      <c r="FQ43">
        <v>0</v>
      </c>
      <c r="FR43">
        <f t="shared" si="40"/>
        <v>0</v>
      </c>
      <c r="FS43">
        <v>0</v>
      </c>
      <c r="FX43">
        <v>100</v>
      </c>
      <c r="FY43">
        <v>64</v>
      </c>
      <c r="GA43" t="s">
        <v>3</v>
      </c>
      <c r="GD43">
        <v>0</v>
      </c>
      <c r="GF43">
        <v>756687370</v>
      </c>
      <c r="GG43">
        <v>2</v>
      </c>
      <c r="GH43">
        <v>1</v>
      </c>
      <c r="GI43">
        <v>2</v>
      </c>
      <c r="GJ43">
        <v>0</v>
      </c>
      <c r="GK43">
        <f>ROUND(R43*(R12)/100,2)</f>
        <v>637.03</v>
      </c>
      <c r="GL43">
        <f t="shared" si="41"/>
        <v>0</v>
      </c>
      <c r="GM43">
        <f>ROUND(O43+X43+Y43+GK43,2)+GX43</f>
        <v>444066.86</v>
      </c>
      <c r="GN43">
        <f>IF(OR(BI43=0,BI43=1),ROUND(O43+X43+Y43+GK43,2),0)</f>
        <v>444066.86</v>
      </c>
      <c r="GO43">
        <f>IF(BI43=2,ROUND(O43+X43+Y43+GK43,2),0)</f>
        <v>0</v>
      </c>
      <c r="GP43">
        <f>IF(BI43=4,ROUND(O43+X43+Y43+GK43,2)+GX43,0)</f>
        <v>0</v>
      </c>
      <c r="GR43">
        <v>0</v>
      </c>
      <c r="GS43">
        <v>3</v>
      </c>
      <c r="GT43">
        <v>0</v>
      </c>
      <c r="GU43" t="s">
        <v>3</v>
      </c>
      <c r="GV43">
        <f t="shared" si="42"/>
        <v>0</v>
      </c>
      <c r="GW43">
        <v>1</v>
      </c>
      <c r="GX43">
        <f t="shared" si="43"/>
        <v>0</v>
      </c>
      <c r="HA43">
        <v>0</v>
      </c>
      <c r="HB43">
        <v>0</v>
      </c>
      <c r="HC43">
        <f t="shared" si="44"/>
        <v>0</v>
      </c>
      <c r="IK43">
        <v>0</v>
      </c>
    </row>
    <row r="44" spans="1:245" x14ac:dyDescent="0.2">
      <c r="A44">
        <v>18</v>
      </c>
      <c r="B44">
        <v>1</v>
      </c>
      <c r="C44">
        <v>59</v>
      </c>
      <c r="E44" t="s">
        <v>110</v>
      </c>
      <c r="F44" t="s">
        <v>111</v>
      </c>
      <c r="G44" t="s">
        <v>112</v>
      </c>
      <c r="H44" t="s">
        <v>113</v>
      </c>
      <c r="I44">
        <f>I43*J44</f>
        <v>395</v>
      </c>
      <c r="J44">
        <v>100</v>
      </c>
      <c r="O44">
        <f t="shared" si="14"/>
        <v>25132.74</v>
      </c>
      <c r="P44">
        <f t="shared" si="15"/>
        <v>25132.74</v>
      </c>
      <c r="Q44">
        <f t="shared" si="16"/>
        <v>0</v>
      </c>
      <c r="R44">
        <f t="shared" si="17"/>
        <v>0</v>
      </c>
      <c r="S44">
        <f t="shared" si="18"/>
        <v>0</v>
      </c>
      <c r="T44">
        <f t="shared" si="19"/>
        <v>0</v>
      </c>
      <c r="U44">
        <f t="shared" si="20"/>
        <v>0</v>
      </c>
      <c r="V44">
        <f t="shared" si="21"/>
        <v>0</v>
      </c>
      <c r="W44">
        <f t="shared" si="22"/>
        <v>0</v>
      </c>
      <c r="X44">
        <f t="shared" si="23"/>
        <v>0</v>
      </c>
      <c r="Y44">
        <f t="shared" si="24"/>
        <v>0</v>
      </c>
      <c r="AA44">
        <v>44962055</v>
      </c>
      <c r="AB44">
        <f t="shared" si="25"/>
        <v>21.28</v>
      </c>
      <c r="AC44">
        <f t="shared" si="26"/>
        <v>21.28</v>
      </c>
      <c r="AD44">
        <f t="shared" ref="AD44:AF45" si="50">ROUND((ET44),6)</f>
        <v>0</v>
      </c>
      <c r="AE44">
        <f t="shared" si="50"/>
        <v>0</v>
      </c>
      <c r="AF44">
        <f t="shared" si="50"/>
        <v>0</v>
      </c>
      <c r="AG44">
        <f t="shared" si="27"/>
        <v>0</v>
      </c>
      <c r="AH44">
        <f>(EW44)</f>
        <v>0</v>
      </c>
      <c r="AI44">
        <f>(EX44)</f>
        <v>0</v>
      </c>
      <c r="AJ44">
        <f t="shared" si="28"/>
        <v>0</v>
      </c>
      <c r="AK44">
        <v>21.28</v>
      </c>
      <c r="AL44">
        <v>21.28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2.99</v>
      </c>
      <c r="BD44" t="s">
        <v>3</v>
      </c>
      <c r="BE44" t="s">
        <v>3</v>
      </c>
      <c r="BF44" t="s">
        <v>3</v>
      </c>
      <c r="BG44" t="s">
        <v>3</v>
      </c>
      <c r="BH44">
        <v>3</v>
      </c>
      <c r="BI44">
        <v>1</v>
      </c>
      <c r="BJ44" t="s">
        <v>114</v>
      </c>
      <c r="BM44">
        <v>113</v>
      </c>
      <c r="BN44">
        <v>0</v>
      </c>
      <c r="BO44" t="s">
        <v>111</v>
      </c>
      <c r="BP44">
        <v>1</v>
      </c>
      <c r="BQ44">
        <v>30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 t="s">
        <v>3</v>
      </c>
      <c r="BZ44">
        <v>0</v>
      </c>
      <c r="CA44">
        <v>0</v>
      </c>
      <c r="CE44">
        <v>0</v>
      </c>
      <c r="CF44">
        <v>0</v>
      </c>
      <c r="CG44">
        <v>0</v>
      </c>
      <c r="CM44">
        <v>0</v>
      </c>
      <c r="CN44" t="s">
        <v>3</v>
      </c>
      <c r="CO44">
        <v>0</v>
      </c>
      <c r="CP44">
        <f t="shared" si="29"/>
        <v>25132.74</v>
      </c>
      <c r="CQ44">
        <f t="shared" si="30"/>
        <v>63.627200000000009</v>
      </c>
      <c r="CR44">
        <f t="shared" si="31"/>
        <v>0</v>
      </c>
      <c r="CS44">
        <f t="shared" si="32"/>
        <v>0</v>
      </c>
      <c r="CT44">
        <f t="shared" si="33"/>
        <v>0</v>
      </c>
      <c r="CU44">
        <f t="shared" si="34"/>
        <v>0</v>
      </c>
      <c r="CV44">
        <f t="shared" si="35"/>
        <v>0</v>
      </c>
      <c r="CW44">
        <f t="shared" si="36"/>
        <v>0</v>
      </c>
      <c r="CX44">
        <f t="shared" si="37"/>
        <v>0</v>
      </c>
      <c r="CY44">
        <f t="shared" si="38"/>
        <v>0</v>
      </c>
      <c r="CZ44">
        <f t="shared" si="39"/>
        <v>0</v>
      </c>
      <c r="DC44" t="s">
        <v>3</v>
      </c>
      <c r="DD44" t="s">
        <v>3</v>
      </c>
      <c r="DE44" t="s">
        <v>3</v>
      </c>
      <c r="DF44" t="s">
        <v>3</v>
      </c>
      <c r="DG44" t="s">
        <v>3</v>
      </c>
      <c r="DH44" t="s">
        <v>3</v>
      </c>
      <c r="DI44" t="s">
        <v>3</v>
      </c>
      <c r="DJ44" t="s">
        <v>3</v>
      </c>
      <c r="DK44" t="s">
        <v>3</v>
      </c>
      <c r="DL44" t="s">
        <v>3</v>
      </c>
      <c r="DM44" t="s">
        <v>3</v>
      </c>
      <c r="DN44">
        <v>100</v>
      </c>
      <c r="DO44">
        <v>64</v>
      </c>
      <c r="DP44">
        <v>1.0249999999999999</v>
      </c>
      <c r="DQ44">
        <v>1</v>
      </c>
      <c r="DU44">
        <v>1013</v>
      </c>
      <c r="DV44" t="s">
        <v>113</v>
      </c>
      <c r="DW44" t="s">
        <v>113</v>
      </c>
      <c r="DX44">
        <v>1</v>
      </c>
      <c r="EE44">
        <v>41867561</v>
      </c>
      <c r="EF44">
        <v>30</v>
      </c>
      <c r="EG44" t="s">
        <v>19</v>
      </c>
      <c r="EH44">
        <v>0</v>
      </c>
      <c r="EI44" t="s">
        <v>3</v>
      </c>
      <c r="EJ44">
        <v>1</v>
      </c>
      <c r="EK44">
        <v>113</v>
      </c>
      <c r="EL44" t="s">
        <v>108</v>
      </c>
      <c r="EM44" t="s">
        <v>109</v>
      </c>
      <c r="EO44" t="s">
        <v>3</v>
      </c>
      <c r="EQ44">
        <v>0</v>
      </c>
      <c r="ER44">
        <v>21.28</v>
      </c>
      <c r="ES44">
        <v>21.28</v>
      </c>
      <c r="ET44">
        <v>0</v>
      </c>
      <c r="EU44">
        <v>0</v>
      </c>
      <c r="EV44">
        <v>0</v>
      </c>
      <c r="EW44">
        <v>0</v>
      </c>
      <c r="EX44">
        <v>0</v>
      </c>
      <c r="FQ44">
        <v>0</v>
      </c>
      <c r="FR44">
        <f t="shared" si="40"/>
        <v>0</v>
      </c>
      <c r="FS44">
        <v>0</v>
      </c>
      <c r="FX44">
        <v>100</v>
      </c>
      <c r="FY44">
        <v>64</v>
      </c>
      <c r="GA44" t="s">
        <v>3</v>
      </c>
      <c r="GD44">
        <v>1</v>
      </c>
      <c r="GF44">
        <v>18285352</v>
      </c>
      <c r="GG44">
        <v>2</v>
      </c>
      <c r="GH44">
        <v>1</v>
      </c>
      <c r="GI44">
        <v>2</v>
      </c>
      <c r="GJ44">
        <v>0</v>
      </c>
      <c r="GK44">
        <v>0</v>
      </c>
      <c r="GL44">
        <f t="shared" si="41"/>
        <v>0</v>
      </c>
      <c r="GM44">
        <f>ROUND(O44+X44+Y44,2)+GX44</f>
        <v>25132.74</v>
      </c>
      <c r="GN44">
        <f>IF(OR(BI44=0,BI44=1),ROUND(O44+X44+Y44,2),0)</f>
        <v>25132.74</v>
      </c>
      <c r="GO44">
        <f>IF(BI44=2,ROUND(O44+X44+Y44,2),0)</f>
        <v>0</v>
      </c>
      <c r="GP44">
        <f>IF(BI44=4,ROUND(O44+X44+Y44,2)+GX44,0)</f>
        <v>0</v>
      </c>
      <c r="GR44">
        <v>0</v>
      </c>
      <c r="GS44">
        <v>3</v>
      </c>
      <c r="GT44">
        <v>0</v>
      </c>
      <c r="GU44" t="s">
        <v>3</v>
      </c>
      <c r="GV44">
        <f t="shared" si="42"/>
        <v>0</v>
      </c>
      <c r="GW44">
        <v>1</v>
      </c>
      <c r="GX44">
        <f t="shared" si="43"/>
        <v>0</v>
      </c>
      <c r="HA44">
        <v>0</v>
      </c>
      <c r="HB44">
        <v>0</v>
      </c>
      <c r="HC44">
        <f t="shared" si="44"/>
        <v>0</v>
      </c>
      <c r="IK44">
        <v>0</v>
      </c>
    </row>
    <row r="45" spans="1:245" x14ac:dyDescent="0.2">
      <c r="A45">
        <v>18</v>
      </c>
      <c r="B45">
        <v>1</v>
      </c>
      <c r="C45">
        <v>58</v>
      </c>
      <c r="E45" t="s">
        <v>115</v>
      </c>
      <c r="F45" t="s">
        <v>116</v>
      </c>
      <c r="G45" t="s">
        <v>117</v>
      </c>
      <c r="H45" t="s">
        <v>36</v>
      </c>
      <c r="I45">
        <f>I43*J45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44962055</v>
      </c>
      <c r="AB45">
        <f t="shared" si="25"/>
        <v>40.36</v>
      </c>
      <c r="AC45">
        <f t="shared" si="26"/>
        <v>40.36</v>
      </c>
      <c r="AD45">
        <f t="shared" si="50"/>
        <v>0</v>
      </c>
      <c r="AE45">
        <f t="shared" si="50"/>
        <v>0</v>
      </c>
      <c r="AF45">
        <f t="shared" si="50"/>
        <v>0</v>
      </c>
      <c r="AG45">
        <f t="shared" si="27"/>
        <v>0</v>
      </c>
      <c r="AH45">
        <f>(EW45)</f>
        <v>0</v>
      </c>
      <c r="AI45">
        <f>(EX45)</f>
        <v>0</v>
      </c>
      <c r="AJ45">
        <f t="shared" si="28"/>
        <v>0</v>
      </c>
      <c r="AK45">
        <v>40.36</v>
      </c>
      <c r="AL45">
        <v>40.36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4.6399999999999997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118</v>
      </c>
      <c r="BM45">
        <v>113</v>
      </c>
      <c r="BN45">
        <v>0</v>
      </c>
      <c r="BO45" t="s">
        <v>116</v>
      </c>
      <c r="BP45">
        <v>1</v>
      </c>
      <c r="BQ45">
        <v>30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29"/>
        <v>0</v>
      </c>
      <c r="CQ45">
        <f t="shared" si="30"/>
        <v>187.2704</v>
      </c>
      <c r="CR45">
        <f t="shared" si="31"/>
        <v>0</v>
      </c>
      <c r="CS45">
        <f t="shared" si="32"/>
        <v>0</v>
      </c>
      <c r="CT45">
        <f t="shared" si="33"/>
        <v>0</v>
      </c>
      <c r="CU45">
        <f t="shared" si="34"/>
        <v>0</v>
      </c>
      <c r="CV45">
        <f t="shared" si="35"/>
        <v>0</v>
      </c>
      <c r="CW45">
        <f t="shared" si="36"/>
        <v>0</v>
      </c>
      <c r="CX45">
        <f t="shared" si="37"/>
        <v>0</v>
      </c>
      <c r="CY45">
        <f t="shared" si="38"/>
        <v>0</v>
      </c>
      <c r="CZ45">
        <f t="shared" si="39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100</v>
      </c>
      <c r="DO45">
        <v>64</v>
      </c>
      <c r="DP45">
        <v>1.0249999999999999</v>
      </c>
      <c r="DQ45">
        <v>1</v>
      </c>
      <c r="DU45">
        <v>1005</v>
      </c>
      <c r="DV45" t="s">
        <v>36</v>
      </c>
      <c r="DW45" t="s">
        <v>36</v>
      </c>
      <c r="DX45">
        <v>1</v>
      </c>
      <c r="EE45">
        <v>41867561</v>
      </c>
      <c r="EF45">
        <v>30</v>
      </c>
      <c r="EG45" t="s">
        <v>19</v>
      </c>
      <c r="EH45">
        <v>0</v>
      </c>
      <c r="EI45" t="s">
        <v>3</v>
      </c>
      <c r="EJ45">
        <v>1</v>
      </c>
      <c r="EK45">
        <v>113</v>
      </c>
      <c r="EL45" t="s">
        <v>108</v>
      </c>
      <c r="EM45" t="s">
        <v>109</v>
      </c>
      <c r="EO45" t="s">
        <v>3</v>
      </c>
      <c r="EQ45">
        <v>0</v>
      </c>
      <c r="ER45">
        <v>40.36</v>
      </c>
      <c r="ES45">
        <v>40.36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0"/>
        <v>0</v>
      </c>
      <c r="FS45">
        <v>0</v>
      </c>
      <c r="FX45">
        <v>100</v>
      </c>
      <c r="FY45">
        <v>64</v>
      </c>
      <c r="GA45" t="s">
        <v>3</v>
      </c>
      <c r="GD45">
        <v>1</v>
      </c>
      <c r="GF45">
        <v>-1446192496</v>
      </c>
      <c r="GG45">
        <v>2</v>
      </c>
      <c r="GH45">
        <v>1</v>
      </c>
      <c r="GI45">
        <v>2</v>
      </c>
      <c r="GJ45">
        <v>0</v>
      </c>
      <c r="GK45">
        <v>0</v>
      </c>
      <c r="GL45">
        <f t="shared" si="41"/>
        <v>0</v>
      </c>
      <c r="GM45">
        <f>ROUND(O45+X45+Y45,2)+GX45</f>
        <v>0</v>
      </c>
      <c r="GN45">
        <f>IF(OR(BI45=0,BI45=1),ROUND(O45+X45+Y45,2),0)</f>
        <v>0</v>
      </c>
      <c r="GO45">
        <f>IF(BI45=2,ROUND(O45+X45+Y45,2),0)</f>
        <v>0</v>
      </c>
      <c r="GP45">
        <f>IF(BI45=4,ROUND(O45+X45+Y45,2)+GX45,0)</f>
        <v>0</v>
      </c>
      <c r="GR45">
        <v>0</v>
      </c>
      <c r="GS45">
        <v>3</v>
      </c>
      <c r="GT45">
        <v>0</v>
      </c>
      <c r="GU45" t="s">
        <v>3</v>
      </c>
      <c r="GV45">
        <f t="shared" si="42"/>
        <v>0</v>
      </c>
      <c r="GW45">
        <v>1</v>
      </c>
      <c r="GX45">
        <f t="shared" si="43"/>
        <v>0</v>
      </c>
      <c r="HA45">
        <v>0</v>
      </c>
      <c r="HB45">
        <v>0</v>
      </c>
      <c r="HC45">
        <f t="shared" si="44"/>
        <v>0</v>
      </c>
      <c r="IK45">
        <v>0</v>
      </c>
    </row>
    <row r="46" spans="1:245" x14ac:dyDescent="0.2">
      <c r="A46">
        <v>17</v>
      </c>
      <c r="B46">
        <v>1</v>
      </c>
      <c r="C46">
        <f>ROW(SmtRes!A61)</f>
        <v>61</v>
      </c>
      <c r="E46" t="s">
        <v>119</v>
      </c>
      <c r="F46" t="s">
        <v>120</v>
      </c>
      <c r="G46" t="s">
        <v>121</v>
      </c>
      <c r="H46" t="s">
        <v>122</v>
      </c>
      <c r="I46">
        <f>ROUND(395*4.56/1000,9)</f>
        <v>1.8011999999999999</v>
      </c>
      <c r="J46">
        <v>0</v>
      </c>
      <c r="O46">
        <f t="shared" si="14"/>
        <v>9119</v>
      </c>
      <c r="P46">
        <f t="shared" si="15"/>
        <v>2554.62</v>
      </c>
      <c r="Q46">
        <f t="shared" si="16"/>
        <v>605.84</v>
      </c>
      <c r="R46">
        <f t="shared" si="17"/>
        <v>385.68</v>
      </c>
      <c r="S46">
        <f t="shared" si="18"/>
        <v>5958.54</v>
      </c>
      <c r="T46">
        <f t="shared" si="19"/>
        <v>0</v>
      </c>
      <c r="U46">
        <f t="shared" si="20"/>
        <v>25.157324375999995</v>
      </c>
      <c r="V46">
        <f t="shared" si="21"/>
        <v>0</v>
      </c>
      <c r="W46">
        <f t="shared" si="22"/>
        <v>0</v>
      </c>
      <c r="X46">
        <f t="shared" si="23"/>
        <v>4051.81</v>
      </c>
      <c r="Y46">
        <f t="shared" si="24"/>
        <v>2443</v>
      </c>
      <c r="AA46">
        <v>44962055</v>
      </c>
      <c r="AB46">
        <f t="shared" si="25"/>
        <v>451.54199999999997</v>
      </c>
      <c r="AC46">
        <f t="shared" si="26"/>
        <v>258.91000000000003</v>
      </c>
      <c r="AD46">
        <f>ROUND(((ET46*1.25)),6)</f>
        <v>37.75</v>
      </c>
      <c r="AE46">
        <f>ROUND(((EU46*1.25)),6)</f>
        <v>10.025</v>
      </c>
      <c r="AF46">
        <f>ROUND(((EV46*1.15)),6)</f>
        <v>154.88200000000001</v>
      </c>
      <c r="AG46">
        <f t="shared" si="27"/>
        <v>0</v>
      </c>
      <c r="AH46">
        <f>((EW46*1.15))</f>
        <v>13.339999999999998</v>
      </c>
      <c r="AI46">
        <f>((EX46*1.25))</f>
        <v>0</v>
      </c>
      <c r="AJ46">
        <f t="shared" si="28"/>
        <v>0</v>
      </c>
      <c r="AK46">
        <v>423.79</v>
      </c>
      <c r="AL46">
        <v>258.91000000000003</v>
      </c>
      <c r="AM46">
        <v>30.2</v>
      </c>
      <c r="AN46">
        <v>8.02</v>
      </c>
      <c r="AO46">
        <v>134.68</v>
      </c>
      <c r="AP46">
        <v>0</v>
      </c>
      <c r="AQ46">
        <v>11.6</v>
      </c>
      <c r="AR46">
        <v>0</v>
      </c>
      <c r="AS46">
        <v>0</v>
      </c>
      <c r="AT46">
        <v>68</v>
      </c>
      <c r="AU46">
        <v>41</v>
      </c>
      <c r="AV46">
        <v>1.0469999999999999</v>
      </c>
      <c r="AW46">
        <v>1.022</v>
      </c>
      <c r="AZ46">
        <v>1</v>
      </c>
      <c r="BA46">
        <v>20.399999999999999</v>
      </c>
      <c r="BB46">
        <v>8.51</v>
      </c>
      <c r="BC46">
        <v>5.36</v>
      </c>
      <c r="BD46" t="s">
        <v>3</v>
      </c>
      <c r="BE46" t="s">
        <v>3</v>
      </c>
      <c r="BF46" t="s">
        <v>3</v>
      </c>
      <c r="BG46" t="s">
        <v>3</v>
      </c>
      <c r="BH46">
        <v>0</v>
      </c>
      <c r="BI46">
        <v>1</v>
      </c>
      <c r="BJ46" t="s">
        <v>123</v>
      </c>
      <c r="BM46">
        <v>47</v>
      </c>
      <c r="BN46">
        <v>0</v>
      </c>
      <c r="BO46" t="s">
        <v>120</v>
      </c>
      <c r="BP46">
        <v>1</v>
      </c>
      <c r="BQ46">
        <v>30</v>
      </c>
      <c r="BR46">
        <v>0</v>
      </c>
      <c r="BS46">
        <v>20.399999999999999</v>
      </c>
      <c r="BT46">
        <v>1</v>
      </c>
      <c r="BU46">
        <v>1</v>
      </c>
      <c r="BV46">
        <v>1</v>
      </c>
      <c r="BW46">
        <v>1</v>
      </c>
      <c r="BX46">
        <v>1</v>
      </c>
      <c r="BY46" t="s">
        <v>3</v>
      </c>
      <c r="BZ46">
        <v>68</v>
      </c>
      <c r="CA46">
        <v>41</v>
      </c>
      <c r="CE46">
        <v>0</v>
      </c>
      <c r="CF46">
        <v>0</v>
      </c>
      <c r="CG46">
        <v>0</v>
      </c>
      <c r="CM46">
        <v>0</v>
      </c>
      <c r="CN46" t="s">
        <v>16</v>
      </c>
      <c r="CO46">
        <v>0</v>
      </c>
      <c r="CP46">
        <f t="shared" si="29"/>
        <v>9119</v>
      </c>
      <c r="CQ46">
        <f t="shared" si="30"/>
        <v>1418.2882672000001</v>
      </c>
      <c r="CR46">
        <f t="shared" si="31"/>
        <v>336.35136749999998</v>
      </c>
      <c r="CS46">
        <f t="shared" si="32"/>
        <v>214.12196999999998</v>
      </c>
      <c r="CT46">
        <f t="shared" si="33"/>
        <v>3308.0936615999995</v>
      </c>
      <c r="CU46">
        <f t="shared" si="34"/>
        <v>0</v>
      </c>
      <c r="CV46">
        <f t="shared" si="35"/>
        <v>13.966979999999998</v>
      </c>
      <c r="CW46">
        <f t="shared" si="36"/>
        <v>0</v>
      </c>
      <c r="CX46">
        <f t="shared" si="37"/>
        <v>0</v>
      </c>
      <c r="CY46">
        <f t="shared" si="38"/>
        <v>4051.8072000000002</v>
      </c>
      <c r="CZ46">
        <f t="shared" si="39"/>
        <v>2443.0013999999996</v>
      </c>
      <c r="DC46" t="s">
        <v>3</v>
      </c>
      <c r="DD46" t="s">
        <v>3</v>
      </c>
      <c r="DE46" t="s">
        <v>17</v>
      </c>
      <c r="DF46" t="s">
        <v>17</v>
      </c>
      <c r="DG46" t="s">
        <v>18</v>
      </c>
      <c r="DH46" t="s">
        <v>3</v>
      </c>
      <c r="DI46" t="s">
        <v>18</v>
      </c>
      <c r="DJ46" t="s">
        <v>17</v>
      </c>
      <c r="DK46" t="s">
        <v>3</v>
      </c>
      <c r="DL46" t="s">
        <v>3</v>
      </c>
      <c r="DM46" t="s">
        <v>3</v>
      </c>
      <c r="DN46">
        <v>85</v>
      </c>
      <c r="DO46">
        <v>70</v>
      </c>
      <c r="DP46">
        <v>1.0469999999999999</v>
      </c>
      <c r="DQ46">
        <v>1.022</v>
      </c>
      <c r="DU46">
        <v>1013</v>
      </c>
      <c r="DV46" t="s">
        <v>122</v>
      </c>
      <c r="DW46" t="s">
        <v>122</v>
      </c>
      <c r="DX46">
        <v>1</v>
      </c>
      <c r="EE46">
        <v>41867495</v>
      </c>
      <c r="EF46">
        <v>30</v>
      </c>
      <c r="EG46" t="s">
        <v>19</v>
      </c>
      <c r="EH46">
        <v>0</v>
      </c>
      <c r="EI46" t="s">
        <v>3</v>
      </c>
      <c r="EJ46">
        <v>1</v>
      </c>
      <c r="EK46">
        <v>47</v>
      </c>
      <c r="EL46" t="s">
        <v>124</v>
      </c>
      <c r="EM46" t="s">
        <v>125</v>
      </c>
      <c r="EO46" t="s">
        <v>22</v>
      </c>
      <c r="EQ46">
        <v>0</v>
      </c>
      <c r="ER46">
        <v>423.79</v>
      </c>
      <c r="ES46">
        <v>258.91000000000003</v>
      </c>
      <c r="ET46">
        <v>30.2</v>
      </c>
      <c r="EU46">
        <v>8.02</v>
      </c>
      <c r="EV46">
        <v>134.68</v>
      </c>
      <c r="EW46">
        <v>11.6</v>
      </c>
      <c r="EX46">
        <v>0</v>
      </c>
      <c r="EY46">
        <v>0</v>
      </c>
      <c r="FQ46">
        <v>0</v>
      </c>
      <c r="FR46">
        <f t="shared" si="40"/>
        <v>0</v>
      </c>
      <c r="FS46">
        <v>0</v>
      </c>
      <c r="FX46">
        <v>85</v>
      </c>
      <c r="FY46">
        <v>70</v>
      </c>
      <c r="GA46" t="s">
        <v>3</v>
      </c>
      <c r="GD46">
        <v>0</v>
      </c>
      <c r="GF46">
        <v>1649437364</v>
      </c>
      <c r="GG46">
        <v>2</v>
      </c>
      <c r="GH46">
        <v>1</v>
      </c>
      <c r="GI46">
        <v>2</v>
      </c>
      <c r="GJ46">
        <v>0</v>
      </c>
      <c r="GK46">
        <f>ROUND(R46*(R12)/100,2)</f>
        <v>605.52</v>
      </c>
      <c r="GL46">
        <f t="shared" si="41"/>
        <v>0</v>
      </c>
      <c r="GM46">
        <f>ROUND(O46+X46+Y46+GK46,2)+GX46</f>
        <v>16219.33</v>
      </c>
      <c r="GN46">
        <f>IF(OR(BI46=0,BI46=1),ROUND(O46+X46+Y46+GK46,2),0)</f>
        <v>16219.33</v>
      </c>
      <c r="GO46">
        <f>IF(BI46=2,ROUND(O46+X46+Y46+GK46,2),0)</f>
        <v>0</v>
      </c>
      <c r="GP46">
        <f>IF(BI46=4,ROUND(O46+X46+Y46+GK46,2)+GX46,0)</f>
        <v>0</v>
      </c>
      <c r="GR46">
        <v>0</v>
      </c>
      <c r="GS46">
        <v>3</v>
      </c>
      <c r="GT46">
        <v>0</v>
      </c>
      <c r="GU46" t="s">
        <v>3</v>
      </c>
      <c r="GV46">
        <f t="shared" si="42"/>
        <v>0</v>
      </c>
      <c r="GW46">
        <v>1</v>
      </c>
      <c r="GX46">
        <f t="shared" si="43"/>
        <v>0</v>
      </c>
      <c r="HA46">
        <v>0</v>
      </c>
      <c r="HB46">
        <v>0</v>
      </c>
      <c r="HC46">
        <f t="shared" si="44"/>
        <v>0</v>
      </c>
      <c r="IK46">
        <v>0</v>
      </c>
    </row>
    <row r="47" spans="1:245" x14ac:dyDescent="0.2">
      <c r="A47">
        <v>18</v>
      </c>
      <c r="B47">
        <v>1</v>
      </c>
      <c r="C47">
        <v>61</v>
      </c>
      <c r="E47" t="s">
        <v>126</v>
      </c>
      <c r="F47" t="s">
        <v>127</v>
      </c>
      <c r="G47" t="s">
        <v>128</v>
      </c>
      <c r="H47" t="s">
        <v>77</v>
      </c>
      <c r="I47">
        <f>I46*J47</f>
        <v>1.8912599999999999</v>
      </c>
      <c r="J47">
        <v>1.05</v>
      </c>
      <c r="O47">
        <f t="shared" si="14"/>
        <v>13617.07</v>
      </c>
      <c r="P47">
        <f t="shared" si="15"/>
        <v>13617.07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44962055</v>
      </c>
      <c r="AB47">
        <f t="shared" si="25"/>
        <v>7200</v>
      </c>
      <c r="AC47">
        <f t="shared" si="26"/>
        <v>7200</v>
      </c>
      <c r="AD47">
        <f>ROUND((ET47),6)</f>
        <v>0</v>
      </c>
      <c r="AE47">
        <f>ROUND((EU47),6)</f>
        <v>0</v>
      </c>
      <c r="AF47">
        <f>ROUND((EV47),6)</f>
        <v>0</v>
      </c>
      <c r="AG47">
        <f t="shared" si="27"/>
        <v>0</v>
      </c>
      <c r="AH47">
        <f>(EW47)</f>
        <v>0</v>
      </c>
      <c r="AI47">
        <f>(EX47)</f>
        <v>0</v>
      </c>
      <c r="AJ47">
        <f t="shared" si="28"/>
        <v>0</v>
      </c>
      <c r="AK47">
        <v>7200</v>
      </c>
      <c r="AL47">
        <v>7200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129</v>
      </c>
      <c r="BM47">
        <v>89</v>
      </c>
      <c r="BN47">
        <v>0</v>
      </c>
      <c r="BO47" t="s">
        <v>3</v>
      </c>
      <c r="BP47">
        <v>0</v>
      </c>
      <c r="BQ47">
        <v>30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29"/>
        <v>13617.07</v>
      </c>
      <c r="CQ47">
        <f t="shared" si="30"/>
        <v>7200</v>
      </c>
      <c r="CR47">
        <f t="shared" si="31"/>
        <v>0</v>
      </c>
      <c r="CS47">
        <f t="shared" si="32"/>
        <v>0</v>
      </c>
      <c r="CT47">
        <f t="shared" si="33"/>
        <v>0</v>
      </c>
      <c r="CU47">
        <f t="shared" si="34"/>
        <v>0</v>
      </c>
      <c r="CV47">
        <f t="shared" si="35"/>
        <v>0</v>
      </c>
      <c r="CW47">
        <f t="shared" si="36"/>
        <v>0</v>
      </c>
      <c r="CX47">
        <f t="shared" si="37"/>
        <v>0</v>
      </c>
      <c r="CY47">
        <f t="shared" si="38"/>
        <v>0</v>
      </c>
      <c r="CZ47">
        <f t="shared" si="39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104</v>
      </c>
      <c r="DO47">
        <v>70</v>
      </c>
      <c r="DP47">
        <v>1.0469999999999999</v>
      </c>
      <c r="DQ47">
        <v>1</v>
      </c>
      <c r="DU47">
        <v>1009</v>
      </c>
      <c r="DV47" t="s">
        <v>77</v>
      </c>
      <c r="DW47" t="s">
        <v>77</v>
      </c>
      <c r="DX47">
        <v>1000</v>
      </c>
      <c r="EE47">
        <v>41867537</v>
      </c>
      <c r="EF47">
        <v>30</v>
      </c>
      <c r="EG47" t="s">
        <v>19</v>
      </c>
      <c r="EH47">
        <v>0</v>
      </c>
      <c r="EI47" t="s">
        <v>3</v>
      </c>
      <c r="EJ47">
        <v>1</v>
      </c>
      <c r="EK47">
        <v>89</v>
      </c>
      <c r="EL47" t="s">
        <v>130</v>
      </c>
      <c r="EM47" t="s">
        <v>131</v>
      </c>
      <c r="EO47" t="s">
        <v>3</v>
      </c>
      <c r="EQ47">
        <v>0</v>
      </c>
      <c r="ER47">
        <v>7200</v>
      </c>
      <c r="ES47">
        <v>7200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0"/>
        <v>0</v>
      </c>
      <c r="FS47">
        <v>0</v>
      </c>
      <c r="FX47">
        <v>104</v>
      </c>
      <c r="FY47">
        <v>70</v>
      </c>
      <c r="GA47" t="s">
        <v>3</v>
      </c>
      <c r="GD47">
        <v>1</v>
      </c>
      <c r="GF47">
        <v>246426046</v>
      </c>
      <c r="GG47">
        <v>2</v>
      </c>
      <c r="GH47">
        <v>1</v>
      </c>
      <c r="GI47">
        <v>-2</v>
      </c>
      <c r="GJ47">
        <v>0</v>
      </c>
      <c r="GK47">
        <v>0</v>
      </c>
      <c r="GL47">
        <f t="shared" si="41"/>
        <v>0</v>
      </c>
      <c r="GM47">
        <f>ROUND(O47+X47+Y47,2)+GX47</f>
        <v>13617.07</v>
      </c>
      <c r="GN47">
        <f>IF(OR(BI47=0,BI47=1),ROUND(O47+X47+Y47,2),0)</f>
        <v>13617.07</v>
      </c>
      <c r="GO47">
        <f>IF(BI47=2,ROUND(O47+X47+Y47,2),0)</f>
        <v>0</v>
      </c>
      <c r="GP47">
        <f>IF(BI47=4,ROUND(O47+X47+Y47,2)+GX47,0)</f>
        <v>0</v>
      </c>
      <c r="GR47">
        <v>0</v>
      </c>
      <c r="GS47">
        <v>3</v>
      </c>
      <c r="GT47">
        <v>0</v>
      </c>
      <c r="GU47" t="s">
        <v>3</v>
      </c>
      <c r="GV47">
        <f t="shared" si="42"/>
        <v>0</v>
      </c>
      <c r="GW47">
        <v>1</v>
      </c>
      <c r="GX47">
        <f t="shared" si="43"/>
        <v>0</v>
      </c>
      <c r="HA47">
        <v>0</v>
      </c>
      <c r="HB47">
        <v>0</v>
      </c>
      <c r="HC47">
        <f t="shared" si="44"/>
        <v>0</v>
      </c>
      <c r="IK47">
        <v>0</v>
      </c>
    </row>
    <row r="48" spans="1:245" x14ac:dyDescent="0.2">
      <c r="A48">
        <v>17</v>
      </c>
      <c r="B48">
        <v>1</v>
      </c>
      <c r="C48">
        <f>ROW(SmtRes!A65)</f>
        <v>65</v>
      </c>
      <c r="D48">
        <f>ROW(EtalonRes!A62)</f>
        <v>62</v>
      </c>
      <c r="E48" t="s">
        <v>132</v>
      </c>
      <c r="F48" t="s">
        <v>133</v>
      </c>
      <c r="G48" t="s">
        <v>134</v>
      </c>
      <c r="H48" t="s">
        <v>135</v>
      </c>
      <c r="I48">
        <f>ROUND(395/100,9)</f>
        <v>3.95</v>
      </c>
      <c r="J48">
        <v>0</v>
      </c>
      <c r="O48">
        <f t="shared" si="14"/>
        <v>24067.5</v>
      </c>
      <c r="P48">
        <f t="shared" si="15"/>
        <v>414.51</v>
      </c>
      <c r="Q48">
        <f t="shared" si="16"/>
        <v>89.17</v>
      </c>
      <c r="R48">
        <f t="shared" si="17"/>
        <v>32.69</v>
      </c>
      <c r="S48">
        <f t="shared" si="18"/>
        <v>23563.82</v>
      </c>
      <c r="T48">
        <f t="shared" si="19"/>
        <v>0</v>
      </c>
      <c r="U48">
        <f t="shared" si="20"/>
        <v>110.95742167499998</v>
      </c>
      <c r="V48">
        <f t="shared" si="21"/>
        <v>0</v>
      </c>
      <c r="W48">
        <f t="shared" si="22"/>
        <v>0</v>
      </c>
      <c r="X48">
        <f t="shared" si="23"/>
        <v>20029.25</v>
      </c>
      <c r="Y48">
        <f t="shared" si="24"/>
        <v>9661.17</v>
      </c>
      <c r="AA48">
        <v>44962055</v>
      </c>
      <c r="AB48">
        <f t="shared" si="25"/>
        <v>319.78800000000001</v>
      </c>
      <c r="AC48">
        <f t="shared" si="26"/>
        <v>24.75</v>
      </c>
      <c r="AD48">
        <f>ROUND(((ET48*1.25)),6)</f>
        <v>15.737500000000001</v>
      </c>
      <c r="AE48">
        <f>ROUND(((EU48*1.25)),6)</f>
        <v>0.38750000000000001</v>
      </c>
      <c r="AF48">
        <f>ROUND(((EV48*1.15)),6)</f>
        <v>279.3005</v>
      </c>
      <c r="AG48">
        <f t="shared" si="27"/>
        <v>0</v>
      </c>
      <c r="AH48">
        <f>((EW48*1.15))</f>
        <v>26.829499999999996</v>
      </c>
      <c r="AI48">
        <f>((EX48*1.25))</f>
        <v>0</v>
      </c>
      <c r="AJ48">
        <f t="shared" si="28"/>
        <v>0</v>
      </c>
      <c r="AK48">
        <v>280.20999999999998</v>
      </c>
      <c r="AL48">
        <v>24.75</v>
      </c>
      <c r="AM48">
        <v>12.59</v>
      </c>
      <c r="AN48">
        <v>0.31</v>
      </c>
      <c r="AO48">
        <v>242.87</v>
      </c>
      <c r="AP48">
        <v>0</v>
      </c>
      <c r="AQ48">
        <v>23.33</v>
      </c>
      <c r="AR48">
        <v>0</v>
      </c>
      <c r="AS48">
        <v>0</v>
      </c>
      <c r="AT48">
        <v>85</v>
      </c>
      <c r="AU48">
        <v>41</v>
      </c>
      <c r="AV48">
        <v>1.0469999999999999</v>
      </c>
      <c r="AW48">
        <v>1</v>
      </c>
      <c r="AZ48">
        <v>1</v>
      </c>
      <c r="BA48">
        <v>20.399999999999999</v>
      </c>
      <c r="BB48">
        <v>1.37</v>
      </c>
      <c r="BC48">
        <v>4.24</v>
      </c>
      <c r="BD48" t="s">
        <v>3</v>
      </c>
      <c r="BE48" t="s">
        <v>3</v>
      </c>
      <c r="BF48" t="s">
        <v>3</v>
      </c>
      <c r="BG48" t="s">
        <v>3</v>
      </c>
      <c r="BH48">
        <v>0</v>
      </c>
      <c r="BI48">
        <v>1</v>
      </c>
      <c r="BJ48" t="s">
        <v>136</v>
      </c>
      <c r="BM48">
        <v>89</v>
      </c>
      <c r="BN48">
        <v>0</v>
      </c>
      <c r="BO48" t="s">
        <v>133</v>
      </c>
      <c r="BP48">
        <v>1</v>
      </c>
      <c r="BQ48">
        <v>30</v>
      </c>
      <c r="BR48">
        <v>0</v>
      </c>
      <c r="BS48">
        <v>20.399999999999999</v>
      </c>
      <c r="BT48">
        <v>1</v>
      </c>
      <c r="BU48">
        <v>1</v>
      </c>
      <c r="BV48">
        <v>1</v>
      </c>
      <c r="BW48">
        <v>1</v>
      </c>
      <c r="BX48">
        <v>1</v>
      </c>
      <c r="BY48" t="s">
        <v>3</v>
      </c>
      <c r="BZ48">
        <v>85</v>
      </c>
      <c r="CA48">
        <v>41</v>
      </c>
      <c r="CE48">
        <v>0</v>
      </c>
      <c r="CF48">
        <v>0</v>
      </c>
      <c r="CG48">
        <v>0</v>
      </c>
      <c r="CM48">
        <v>0</v>
      </c>
      <c r="CN48" t="s">
        <v>16</v>
      </c>
      <c r="CO48">
        <v>0</v>
      </c>
      <c r="CP48">
        <f t="shared" si="29"/>
        <v>24067.5</v>
      </c>
      <c r="CQ48">
        <f t="shared" si="30"/>
        <v>104.94000000000001</v>
      </c>
      <c r="CR48">
        <f t="shared" si="31"/>
        <v>22.573712625000002</v>
      </c>
      <c r="CS48">
        <f t="shared" si="32"/>
        <v>8.2765349999999991</v>
      </c>
      <c r="CT48">
        <f t="shared" si="33"/>
        <v>5965.5235193999997</v>
      </c>
      <c r="CU48">
        <f t="shared" si="34"/>
        <v>0</v>
      </c>
      <c r="CV48">
        <f t="shared" si="35"/>
        <v>28.090486499999994</v>
      </c>
      <c r="CW48">
        <f t="shared" si="36"/>
        <v>0</v>
      </c>
      <c r="CX48">
        <f t="shared" si="37"/>
        <v>0</v>
      </c>
      <c r="CY48">
        <f t="shared" si="38"/>
        <v>20029.246999999999</v>
      </c>
      <c r="CZ48">
        <f t="shared" si="39"/>
        <v>9661.1661999999997</v>
      </c>
      <c r="DC48" t="s">
        <v>3</v>
      </c>
      <c r="DD48" t="s">
        <v>3</v>
      </c>
      <c r="DE48" t="s">
        <v>17</v>
      </c>
      <c r="DF48" t="s">
        <v>17</v>
      </c>
      <c r="DG48" t="s">
        <v>18</v>
      </c>
      <c r="DH48" t="s">
        <v>3</v>
      </c>
      <c r="DI48" t="s">
        <v>18</v>
      </c>
      <c r="DJ48" t="s">
        <v>17</v>
      </c>
      <c r="DK48" t="s">
        <v>3</v>
      </c>
      <c r="DL48" t="s">
        <v>3</v>
      </c>
      <c r="DM48" t="s">
        <v>3</v>
      </c>
      <c r="DN48">
        <v>104</v>
      </c>
      <c r="DO48">
        <v>70</v>
      </c>
      <c r="DP48">
        <v>1.0469999999999999</v>
      </c>
      <c r="DQ48">
        <v>1</v>
      </c>
      <c r="DU48">
        <v>1013</v>
      </c>
      <c r="DV48" t="s">
        <v>135</v>
      </c>
      <c r="DW48" t="s">
        <v>135</v>
      </c>
      <c r="DX48">
        <v>1</v>
      </c>
      <c r="EE48">
        <v>41867537</v>
      </c>
      <c r="EF48">
        <v>30</v>
      </c>
      <c r="EG48" t="s">
        <v>19</v>
      </c>
      <c r="EH48">
        <v>0</v>
      </c>
      <c r="EI48" t="s">
        <v>3</v>
      </c>
      <c r="EJ48">
        <v>1</v>
      </c>
      <c r="EK48">
        <v>89</v>
      </c>
      <c r="EL48" t="s">
        <v>130</v>
      </c>
      <c r="EM48" t="s">
        <v>131</v>
      </c>
      <c r="EO48" t="s">
        <v>22</v>
      </c>
      <c r="EQ48">
        <v>0</v>
      </c>
      <c r="ER48">
        <v>280.20999999999998</v>
      </c>
      <c r="ES48">
        <v>24.75</v>
      </c>
      <c r="ET48">
        <v>12.59</v>
      </c>
      <c r="EU48">
        <v>0.31</v>
      </c>
      <c r="EV48">
        <v>242.87</v>
      </c>
      <c r="EW48">
        <v>23.33</v>
      </c>
      <c r="EX48">
        <v>0</v>
      </c>
      <c r="EY48">
        <v>0</v>
      </c>
      <c r="FQ48">
        <v>0</v>
      </c>
      <c r="FR48">
        <f t="shared" si="40"/>
        <v>0</v>
      </c>
      <c r="FS48">
        <v>0</v>
      </c>
      <c r="FX48">
        <v>104</v>
      </c>
      <c r="FY48">
        <v>70</v>
      </c>
      <c r="GA48" t="s">
        <v>3</v>
      </c>
      <c r="GD48">
        <v>0</v>
      </c>
      <c r="GF48">
        <v>-1442233798</v>
      </c>
      <c r="GG48">
        <v>2</v>
      </c>
      <c r="GH48">
        <v>1</v>
      </c>
      <c r="GI48">
        <v>2</v>
      </c>
      <c r="GJ48">
        <v>0</v>
      </c>
      <c r="GK48">
        <f>ROUND(R48*(R12)/100,2)</f>
        <v>51.32</v>
      </c>
      <c r="GL48">
        <f t="shared" si="41"/>
        <v>0</v>
      </c>
      <c r="GM48">
        <f>ROUND(O48+X48+Y48+GK48,2)+GX48</f>
        <v>53809.24</v>
      </c>
      <c r="GN48">
        <f>IF(OR(BI48=0,BI48=1),ROUND(O48+X48+Y48+GK48,2),0)</f>
        <v>53809.24</v>
      </c>
      <c r="GO48">
        <f>IF(BI48=2,ROUND(O48+X48+Y48+GK48,2),0)</f>
        <v>0</v>
      </c>
      <c r="GP48">
        <f>IF(BI48=4,ROUND(O48+X48+Y48+GK48,2)+GX48,0)</f>
        <v>0</v>
      </c>
      <c r="GR48">
        <v>0</v>
      </c>
      <c r="GS48">
        <v>3</v>
      </c>
      <c r="GT48">
        <v>0</v>
      </c>
      <c r="GU48" t="s">
        <v>3</v>
      </c>
      <c r="GV48">
        <f t="shared" si="42"/>
        <v>0</v>
      </c>
      <c r="GW48">
        <v>1</v>
      </c>
      <c r="GX48">
        <f t="shared" si="43"/>
        <v>0</v>
      </c>
      <c r="HA48">
        <v>0</v>
      </c>
      <c r="HB48">
        <v>0</v>
      </c>
      <c r="HC48">
        <f t="shared" si="44"/>
        <v>0</v>
      </c>
      <c r="IK48">
        <v>0</v>
      </c>
    </row>
    <row r="49" spans="1:245" x14ac:dyDescent="0.2">
      <c r="A49">
        <v>18</v>
      </c>
      <c r="B49">
        <v>1</v>
      </c>
      <c r="C49">
        <v>65</v>
      </c>
      <c r="E49" t="s">
        <v>137</v>
      </c>
      <c r="F49" t="s">
        <v>138</v>
      </c>
      <c r="G49" t="s">
        <v>139</v>
      </c>
      <c r="H49" t="s">
        <v>140</v>
      </c>
      <c r="I49">
        <f>I48*J49</f>
        <v>8.0579999999999998</v>
      </c>
      <c r="J49">
        <v>2.04</v>
      </c>
      <c r="O49">
        <f t="shared" si="14"/>
        <v>24865.360000000001</v>
      </c>
      <c r="P49">
        <f t="shared" si="15"/>
        <v>24865.360000000001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44962055</v>
      </c>
      <c r="AB49">
        <f t="shared" si="25"/>
        <v>451.14</v>
      </c>
      <c r="AC49">
        <f t="shared" si="26"/>
        <v>451.14</v>
      </c>
      <c r="AD49">
        <f>ROUND((ET49),6)</f>
        <v>0</v>
      </c>
      <c r="AE49">
        <f>ROUND((EU49),6)</f>
        <v>0</v>
      </c>
      <c r="AF49">
        <f>ROUND((EV49),6)</f>
        <v>0</v>
      </c>
      <c r="AG49">
        <f t="shared" si="27"/>
        <v>0</v>
      </c>
      <c r="AH49">
        <f>(EW49)</f>
        <v>0</v>
      </c>
      <c r="AI49">
        <f>(EX49)</f>
        <v>0</v>
      </c>
      <c r="AJ49">
        <f t="shared" si="28"/>
        <v>0</v>
      </c>
      <c r="AK49">
        <v>451.14</v>
      </c>
      <c r="AL49">
        <v>451.14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6.84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141</v>
      </c>
      <c r="BM49">
        <v>89</v>
      </c>
      <c r="BN49">
        <v>0</v>
      </c>
      <c r="BO49" t="s">
        <v>138</v>
      </c>
      <c r="BP49">
        <v>1</v>
      </c>
      <c r="BQ49">
        <v>30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29"/>
        <v>24865.360000000001</v>
      </c>
      <c r="CQ49">
        <f t="shared" si="30"/>
        <v>3085.7975999999999</v>
      </c>
      <c r="CR49">
        <f t="shared" si="31"/>
        <v>0</v>
      </c>
      <c r="CS49">
        <f t="shared" si="32"/>
        <v>0</v>
      </c>
      <c r="CT49">
        <f t="shared" si="33"/>
        <v>0</v>
      </c>
      <c r="CU49">
        <f t="shared" si="34"/>
        <v>0</v>
      </c>
      <c r="CV49">
        <f t="shared" si="35"/>
        <v>0</v>
      </c>
      <c r="CW49">
        <f t="shared" si="36"/>
        <v>0</v>
      </c>
      <c r="CX49">
        <f t="shared" si="37"/>
        <v>0</v>
      </c>
      <c r="CY49">
        <f t="shared" si="38"/>
        <v>0</v>
      </c>
      <c r="CZ49">
        <f t="shared" si="39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104</v>
      </c>
      <c r="DO49">
        <v>70</v>
      </c>
      <c r="DP49">
        <v>1.0469999999999999</v>
      </c>
      <c r="DQ49">
        <v>1</v>
      </c>
      <c r="DU49">
        <v>1007</v>
      </c>
      <c r="DV49" t="s">
        <v>140</v>
      </c>
      <c r="DW49" t="s">
        <v>140</v>
      </c>
      <c r="DX49">
        <v>1</v>
      </c>
      <c r="EE49">
        <v>41867537</v>
      </c>
      <c r="EF49">
        <v>30</v>
      </c>
      <c r="EG49" t="s">
        <v>19</v>
      </c>
      <c r="EH49">
        <v>0</v>
      </c>
      <c r="EI49" t="s">
        <v>3</v>
      </c>
      <c r="EJ49">
        <v>1</v>
      </c>
      <c r="EK49">
        <v>89</v>
      </c>
      <c r="EL49" t="s">
        <v>130</v>
      </c>
      <c r="EM49" t="s">
        <v>131</v>
      </c>
      <c r="EO49" t="s">
        <v>3</v>
      </c>
      <c r="EQ49">
        <v>0</v>
      </c>
      <c r="ER49">
        <v>451.14</v>
      </c>
      <c r="ES49">
        <v>451.14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0"/>
        <v>0</v>
      </c>
      <c r="FS49">
        <v>0</v>
      </c>
      <c r="FX49">
        <v>104</v>
      </c>
      <c r="FY49">
        <v>70</v>
      </c>
      <c r="GA49" t="s">
        <v>3</v>
      </c>
      <c r="GD49">
        <v>1</v>
      </c>
      <c r="GF49">
        <v>-718781615</v>
      </c>
      <c r="GG49">
        <v>2</v>
      </c>
      <c r="GH49">
        <v>1</v>
      </c>
      <c r="GI49">
        <v>2</v>
      </c>
      <c r="GJ49">
        <v>0</v>
      </c>
      <c r="GK49">
        <v>0</v>
      </c>
      <c r="GL49">
        <f t="shared" si="41"/>
        <v>0</v>
      </c>
      <c r="GM49">
        <f>ROUND(O49+X49+Y49,2)+GX49</f>
        <v>24865.360000000001</v>
      </c>
      <c r="GN49">
        <f>IF(OR(BI49=0,BI49=1),ROUND(O49+X49+Y49,2),0)</f>
        <v>24865.360000000001</v>
      </c>
      <c r="GO49">
        <f>IF(BI49=2,ROUND(O49+X49+Y49,2),0)</f>
        <v>0</v>
      </c>
      <c r="GP49">
        <f>IF(BI49=4,ROUND(O49+X49+Y49,2)+GX49,0)</f>
        <v>0</v>
      </c>
      <c r="GR49">
        <v>0</v>
      </c>
      <c r="GS49">
        <v>3</v>
      </c>
      <c r="GT49">
        <v>0</v>
      </c>
      <c r="GU49" t="s">
        <v>3</v>
      </c>
      <c r="GV49">
        <f t="shared" si="42"/>
        <v>0</v>
      </c>
      <c r="GW49">
        <v>1</v>
      </c>
      <c r="GX49">
        <f t="shared" si="43"/>
        <v>0</v>
      </c>
      <c r="HA49">
        <v>0</v>
      </c>
      <c r="HB49">
        <v>0</v>
      </c>
      <c r="HC49">
        <f t="shared" si="44"/>
        <v>0</v>
      </c>
      <c r="IK49">
        <v>0</v>
      </c>
    </row>
    <row r="50" spans="1:245" x14ac:dyDescent="0.2">
      <c r="A50">
        <v>17</v>
      </c>
      <c r="B50">
        <v>1</v>
      </c>
      <c r="C50">
        <f>ROW(SmtRes!A68)</f>
        <v>68</v>
      </c>
      <c r="D50">
        <f>ROW(EtalonRes!A65)</f>
        <v>65</v>
      </c>
      <c r="E50" t="s">
        <v>142</v>
      </c>
      <c r="F50" t="s">
        <v>143</v>
      </c>
      <c r="G50" t="s">
        <v>144</v>
      </c>
      <c r="H50" t="s">
        <v>135</v>
      </c>
      <c r="I50">
        <f>ROUND(395/100,9)</f>
        <v>3.95</v>
      </c>
      <c r="J50">
        <v>0</v>
      </c>
      <c r="O50">
        <f t="shared" si="14"/>
        <v>2756.43</v>
      </c>
      <c r="P50">
        <f t="shared" si="15"/>
        <v>0</v>
      </c>
      <c r="Q50">
        <f t="shared" si="16"/>
        <v>136.83000000000001</v>
      </c>
      <c r="R50">
        <f t="shared" si="17"/>
        <v>50.62</v>
      </c>
      <c r="S50">
        <f t="shared" si="18"/>
        <v>2619.6</v>
      </c>
      <c r="T50">
        <f t="shared" si="19"/>
        <v>0</v>
      </c>
      <c r="U50">
        <f t="shared" si="20"/>
        <v>12.555833399999999</v>
      </c>
      <c r="V50">
        <f t="shared" si="21"/>
        <v>0</v>
      </c>
      <c r="W50">
        <f t="shared" si="22"/>
        <v>0</v>
      </c>
      <c r="X50">
        <f t="shared" si="23"/>
        <v>2226.66</v>
      </c>
      <c r="Y50">
        <f t="shared" si="24"/>
        <v>1074.04</v>
      </c>
      <c r="AA50">
        <v>44962055</v>
      </c>
      <c r="AB50">
        <f t="shared" si="25"/>
        <v>55.2</v>
      </c>
      <c r="AC50">
        <f>ROUND(((ES50*6)),6)</f>
        <v>0</v>
      </c>
      <c r="AD50">
        <f>ROUND((((ET50*1.25)*6)),6)</f>
        <v>24.15</v>
      </c>
      <c r="AE50">
        <f>ROUND((((EU50*1.25)*6)),6)</f>
        <v>0.6</v>
      </c>
      <c r="AF50">
        <f>ROUND((((EV50*1.15)*6)),6)</f>
        <v>31.05</v>
      </c>
      <c r="AG50">
        <f t="shared" si="27"/>
        <v>0</v>
      </c>
      <c r="AH50">
        <f>(((EW50*1.15)*6))</f>
        <v>3.036</v>
      </c>
      <c r="AI50">
        <f>(((EX50*1.25)*6))</f>
        <v>0</v>
      </c>
      <c r="AJ50">
        <f t="shared" si="28"/>
        <v>0</v>
      </c>
      <c r="AK50">
        <v>7.72</v>
      </c>
      <c r="AL50">
        <v>0</v>
      </c>
      <c r="AM50">
        <v>3.22</v>
      </c>
      <c r="AN50">
        <v>0.08</v>
      </c>
      <c r="AO50">
        <v>4.5</v>
      </c>
      <c r="AP50">
        <v>0</v>
      </c>
      <c r="AQ50">
        <v>0.44</v>
      </c>
      <c r="AR50">
        <v>0</v>
      </c>
      <c r="AS50">
        <v>0</v>
      </c>
      <c r="AT50">
        <v>85</v>
      </c>
      <c r="AU50">
        <v>41</v>
      </c>
      <c r="AV50">
        <v>1.0469999999999999</v>
      </c>
      <c r="AW50">
        <v>1</v>
      </c>
      <c r="AZ50">
        <v>1</v>
      </c>
      <c r="BA50">
        <v>20.399999999999999</v>
      </c>
      <c r="BB50">
        <v>1.37</v>
      </c>
      <c r="BC50">
        <v>1</v>
      </c>
      <c r="BD50" t="s">
        <v>3</v>
      </c>
      <c r="BE50" t="s">
        <v>3</v>
      </c>
      <c r="BF50" t="s">
        <v>3</v>
      </c>
      <c r="BG50" t="s">
        <v>3</v>
      </c>
      <c r="BH50">
        <v>0</v>
      </c>
      <c r="BI50">
        <v>1</v>
      </c>
      <c r="BJ50" t="s">
        <v>145</v>
      </c>
      <c r="BM50">
        <v>89</v>
      </c>
      <c r="BN50">
        <v>0</v>
      </c>
      <c r="BO50" t="s">
        <v>143</v>
      </c>
      <c r="BP50">
        <v>1</v>
      </c>
      <c r="BQ50">
        <v>30</v>
      </c>
      <c r="BR50">
        <v>0</v>
      </c>
      <c r="BS50">
        <v>20.399999999999999</v>
      </c>
      <c r="BT50">
        <v>1</v>
      </c>
      <c r="BU50">
        <v>1</v>
      </c>
      <c r="BV50">
        <v>1</v>
      </c>
      <c r="BW50">
        <v>1</v>
      </c>
      <c r="BX50">
        <v>1</v>
      </c>
      <c r="BY50" t="s">
        <v>3</v>
      </c>
      <c r="BZ50">
        <v>85</v>
      </c>
      <c r="CA50">
        <v>41</v>
      </c>
      <c r="CE50">
        <v>0</v>
      </c>
      <c r="CF50">
        <v>0</v>
      </c>
      <c r="CG50">
        <v>0</v>
      </c>
      <c r="CM50">
        <v>0</v>
      </c>
      <c r="CN50" t="s">
        <v>16</v>
      </c>
      <c r="CO50">
        <v>0</v>
      </c>
      <c r="CP50">
        <f t="shared" si="29"/>
        <v>2756.43</v>
      </c>
      <c r="CQ50">
        <f t="shared" si="30"/>
        <v>0</v>
      </c>
      <c r="CR50">
        <f t="shared" si="31"/>
        <v>34.640518499999999</v>
      </c>
      <c r="CS50">
        <f t="shared" si="32"/>
        <v>12.815279999999998</v>
      </c>
      <c r="CT50">
        <f t="shared" si="33"/>
        <v>663.19073999999989</v>
      </c>
      <c r="CU50">
        <f t="shared" si="34"/>
        <v>0</v>
      </c>
      <c r="CV50">
        <f t="shared" si="35"/>
        <v>3.1786919999999999</v>
      </c>
      <c r="CW50">
        <f t="shared" si="36"/>
        <v>0</v>
      </c>
      <c r="CX50">
        <f t="shared" si="37"/>
        <v>0</v>
      </c>
      <c r="CY50">
        <f t="shared" si="38"/>
        <v>2226.66</v>
      </c>
      <c r="CZ50">
        <f t="shared" si="39"/>
        <v>1074.0359999999998</v>
      </c>
      <c r="DC50" t="s">
        <v>3</v>
      </c>
      <c r="DD50" t="s">
        <v>146</v>
      </c>
      <c r="DE50" t="s">
        <v>147</v>
      </c>
      <c r="DF50" t="s">
        <v>147</v>
      </c>
      <c r="DG50" t="s">
        <v>148</v>
      </c>
      <c r="DH50" t="s">
        <v>3</v>
      </c>
      <c r="DI50" t="s">
        <v>148</v>
      </c>
      <c r="DJ50" t="s">
        <v>147</v>
      </c>
      <c r="DK50" t="s">
        <v>3</v>
      </c>
      <c r="DL50" t="s">
        <v>3</v>
      </c>
      <c r="DM50" t="s">
        <v>3</v>
      </c>
      <c r="DN50">
        <v>104</v>
      </c>
      <c r="DO50">
        <v>70</v>
      </c>
      <c r="DP50">
        <v>1.0469999999999999</v>
      </c>
      <c r="DQ50">
        <v>1</v>
      </c>
      <c r="DU50">
        <v>1013</v>
      </c>
      <c r="DV50" t="s">
        <v>135</v>
      </c>
      <c r="DW50" t="s">
        <v>135</v>
      </c>
      <c r="DX50">
        <v>1</v>
      </c>
      <c r="EE50">
        <v>41867537</v>
      </c>
      <c r="EF50">
        <v>30</v>
      </c>
      <c r="EG50" t="s">
        <v>19</v>
      </c>
      <c r="EH50">
        <v>0</v>
      </c>
      <c r="EI50" t="s">
        <v>3</v>
      </c>
      <c r="EJ50">
        <v>1</v>
      </c>
      <c r="EK50">
        <v>89</v>
      </c>
      <c r="EL50" t="s">
        <v>130</v>
      </c>
      <c r="EM50" t="s">
        <v>131</v>
      </c>
      <c r="EO50" t="s">
        <v>22</v>
      </c>
      <c r="EQ50">
        <v>0</v>
      </c>
      <c r="ER50">
        <v>7.72</v>
      </c>
      <c r="ES50">
        <v>0</v>
      </c>
      <c r="ET50">
        <v>3.22</v>
      </c>
      <c r="EU50">
        <v>0.08</v>
      </c>
      <c r="EV50">
        <v>4.5</v>
      </c>
      <c r="EW50">
        <v>0.44</v>
      </c>
      <c r="EX50">
        <v>0</v>
      </c>
      <c r="EY50">
        <v>0</v>
      </c>
      <c r="FQ50">
        <v>0</v>
      </c>
      <c r="FR50">
        <f t="shared" si="40"/>
        <v>0</v>
      </c>
      <c r="FS50">
        <v>0</v>
      </c>
      <c r="FX50">
        <v>104</v>
      </c>
      <c r="FY50">
        <v>70</v>
      </c>
      <c r="GA50" t="s">
        <v>3</v>
      </c>
      <c r="GD50">
        <v>0</v>
      </c>
      <c r="GF50">
        <v>1608466250</v>
      </c>
      <c r="GG50">
        <v>2</v>
      </c>
      <c r="GH50">
        <v>1</v>
      </c>
      <c r="GI50">
        <v>2</v>
      </c>
      <c r="GJ50">
        <v>0</v>
      </c>
      <c r="GK50">
        <f>ROUND(R50*(R12)/100,2)</f>
        <v>79.47</v>
      </c>
      <c r="GL50">
        <f t="shared" si="41"/>
        <v>0</v>
      </c>
      <c r="GM50">
        <f>ROUND(O50+X50+Y50+GK50,2)+GX50</f>
        <v>6136.6</v>
      </c>
      <c r="GN50">
        <f>IF(OR(BI50=0,BI50=1),ROUND(O50+X50+Y50+GK50,2),0)</f>
        <v>6136.6</v>
      </c>
      <c r="GO50">
        <f>IF(BI50=2,ROUND(O50+X50+Y50+GK50,2),0)</f>
        <v>0</v>
      </c>
      <c r="GP50">
        <f>IF(BI50=4,ROUND(O50+X50+Y50+GK50,2)+GX50,0)</f>
        <v>0</v>
      </c>
      <c r="GR50">
        <v>0</v>
      </c>
      <c r="GS50">
        <v>3</v>
      </c>
      <c r="GT50">
        <v>0</v>
      </c>
      <c r="GU50" t="s">
        <v>3</v>
      </c>
      <c r="GV50">
        <f t="shared" si="42"/>
        <v>0</v>
      </c>
      <c r="GW50">
        <v>1</v>
      </c>
      <c r="GX50">
        <f t="shared" si="43"/>
        <v>0</v>
      </c>
      <c r="HA50">
        <v>0</v>
      </c>
      <c r="HB50">
        <v>0</v>
      </c>
      <c r="HC50">
        <f t="shared" si="44"/>
        <v>0</v>
      </c>
      <c r="IK50">
        <v>0</v>
      </c>
    </row>
    <row r="51" spans="1:245" x14ac:dyDescent="0.2">
      <c r="A51">
        <v>18</v>
      </c>
      <c r="B51">
        <v>1</v>
      </c>
      <c r="C51">
        <v>68</v>
      </c>
      <c r="E51" t="s">
        <v>149</v>
      </c>
      <c r="F51" t="s">
        <v>138</v>
      </c>
      <c r="G51" t="s">
        <v>139</v>
      </c>
      <c r="H51" t="s">
        <v>140</v>
      </c>
      <c r="I51">
        <f>I50*J51</f>
        <v>12.087</v>
      </c>
      <c r="J51">
        <v>3.0599999999999996</v>
      </c>
      <c r="O51">
        <f t="shared" si="14"/>
        <v>37298.04</v>
      </c>
      <c r="P51">
        <f t="shared" si="15"/>
        <v>37298.04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44962055</v>
      </c>
      <c r="AB51">
        <f t="shared" si="25"/>
        <v>451.14</v>
      </c>
      <c r="AC51">
        <f>ROUND((ES51),6)</f>
        <v>451.14</v>
      </c>
      <c r="AD51">
        <f>ROUND((ET51),6)</f>
        <v>0</v>
      </c>
      <c r="AE51">
        <f>ROUND((EU51),6)</f>
        <v>0</v>
      </c>
      <c r="AF51">
        <f>ROUND((EV51),6)</f>
        <v>0</v>
      </c>
      <c r="AG51">
        <f t="shared" si="27"/>
        <v>0</v>
      </c>
      <c r="AH51">
        <f>(EW51)</f>
        <v>0</v>
      </c>
      <c r="AI51">
        <f>(EX51)</f>
        <v>0</v>
      </c>
      <c r="AJ51">
        <f t="shared" si="28"/>
        <v>0</v>
      </c>
      <c r="AK51">
        <v>451.14</v>
      </c>
      <c r="AL51">
        <v>451.14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6.84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141</v>
      </c>
      <c r="BM51">
        <v>89</v>
      </c>
      <c r="BN51">
        <v>0</v>
      </c>
      <c r="BO51" t="s">
        <v>138</v>
      </c>
      <c r="BP51">
        <v>1</v>
      </c>
      <c r="BQ51">
        <v>30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E51">
        <v>0</v>
      </c>
      <c r="CF51">
        <v>0</v>
      </c>
      <c r="CG51">
        <v>0</v>
      </c>
      <c r="CM51">
        <v>0</v>
      </c>
      <c r="CN51" t="s">
        <v>16</v>
      </c>
      <c r="CO51">
        <v>0</v>
      </c>
      <c r="CP51">
        <f t="shared" si="29"/>
        <v>37298.04</v>
      </c>
      <c r="CQ51">
        <f t="shared" si="30"/>
        <v>3085.7975999999999</v>
      </c>
      <c r="CR51">
        <f t="shared" si="31"/>
        <v>0</v>
      </c>
      <c r="CS51">
        <f t="shared" si="32"/>
        <v>0</v>
      </c>
      <c r="CT51">
        <f t="shared" si="33"/>
        <v>0</v>
      </c>
      <c r="CU51">
        <f t="shared" si="34"/>
        <v>0</v>
      </c>
      <c r="CV51">
        <f t="shared" si="35"/>
        <v>0</v>
      </c>
      <c r="CW51">
        <f t="shared" si="36"/>
        <v>0</v>
      </c>
      <c r="CX51">
        <f t="shared" si="37"/>
        <v>0</v>
      </c>
      <c r="CY51">
        <f t="shared" si="38"/>
        <v>0</v>
      </c>
      <c r="CZ51">
        <f t="shared" si="39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104</v>
      </c>
      <c r="DO51">
        <v>70</v>
      </c>
      <c r="DP51">
        <v>1.0469999999999999</v>
      </c>
      <c r="DQ51">
        <v>1</v>
      </c>
      <c r="DU51">
        <v>1007</v>
      </c>
      <c r="DV51" t="s">
        <v>140</v>
      </c>
      <c r="DW51" t="s">
        <v>140</v>
      </c>
      <c r="DX51">
        <v>1</v>
      </c>
      <c r="EE51">
        <v>41867537</v>
      </c>
      <c r="EF51">
        <v>30</v>
      </c>
      <c r="EG51" t="s">
        <v>19</v>
      </c>
      <c r="EH51">
        <v>0</v>
      </c>
      <c r="EI51" t="s">
        <v>3</v>
      </c>
      <c r="EJ51">
        <v>1</v>
      </c>
      <c r="EK51">
        <v>89</v>
      </c>
      <c r="EL51" t="s">
        <v>130</v>
      </c>
      <c r="EM51" t="s">
        <v>131</v>
      </c>
      <c r="EO51" t="s">
        <v>22</v>
      </c>
      <c r="EQ51">
        <v>0</v>
      </c>
      <c r="ER51">
        <v>451.14</v>
      </c>
      <c r="ES51">
        <v>451.14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0"/>
        <v>0</v>
      </c>
      <c r="FS51">
        <v>0</v>
      </c>
      <c r="FX51">
        <v>104</v>
      </c>
      <c r="FY51">
        <v>70</v>
      </c>
      <c r="GA51" t="s">
        <v>3</v>
      </c>
      <c r="GD51">
        <v>1</v>
      </c>
      <c r="GF51">
        <v>-718781615</v>
      </c>
      <c r="GG51">
        <v>2</v>
      </c>
      <c r="GH51">
        <v>1</v>
      </c>
      <c r="GI51">
        <v>2</v>
      </c>
      <c r="GJ51">
        <v>0</v>
      </c>
      <c r="GK51">
        <v>0</v>
      </c>
      <c r="GL51">
        <f t="shared" si="41"/>
        <v>0</v>
      </c>
      <c r="GM51">
        <f>ROUND(O51+X51+Y51,2)+GX51</f>
        <v>37298.04</v>
      </c>
      <c r="GN51">
        <f>IF(OR(BI51=0,BI51=1),ROUND(O51+X51+Y51,2),0)</f>
        <v>37298.04</v>
      </c>
      <c r="GO51">
        <f>IF(BI51=2,ROUND(O51+X51+Y51,2),0)</f>
        <v>0</v>
      </c>
      <c r="GP51">
        <f>IF(BI51=4,ROUND(O51+X51+Y51,2)+GX51,0)</f>
        <v>0</v>
      </c>
      <c r="GR51">
        <v>0</v>
      </c>
      <c r="GS51">
        <v>3</v>
      </c>
      <c r="GT51">
        <v>0</v>
      </c>
      <c r="GU51" t="s">
        <v>3</v>
      </c>
      <c r="GV51">
        <f t="shared" si="42"/>
        <v>0</v>
      </c>
      <c r="GW51">
        <v>1</v>
      </c>
      <c r="GX51">
        <f t="shared" si="43"/>
        <v>0</v>
      </c>
      <c r="HA51">
        <v>0</v>
      </c>
      <c r="HB51">
        <v>0</v>
      </c>
      <c r="HC51">
        <f t="shared" si="44"/>
        <v>0</v>
      </c>
      <c r="IK51">
        <v>0</v>
      </c>
    </row>
    <row r="52" spans="1:245" x14ac:dyDescent="0.2">
      <c r="A52">
        <v>17</v>
      </c>
      <c r="B52">
        <v>1</v>
      </c>
      <c r="C52">
        <f>ROW(SmtRes!A77)</f>
        <v>77</v>
      </c>
      <c r="D52">
        <f>ROW(EtalonRes!A74)</f>
        <v>74</v>
      </c>
      <c r="E52" t="s">
        <v>150</v>
      </c>
      <c r="F52" t="s">
        <v>151</v>
      </c>
      <c r="G52" t="s">
        <v>152</v>
      </c>
      <c r="H52" t="s">
        <v>135</v>
      </c>
      <c r="I52">
        <f>ROUND(395/100,9)</f>
        <v>3.95</v>
      </c>
      <c r="J52">
        <v>0</v>
      </c>
      <c r="O52">
        <f t="shared" si="14"/>
        <v>40522.29</v>
      </c>
      <c r="P52">
        <f t="shared" si="15"/>
        <v>290.12</v>
      </c>
      <c r="Q52">
        <f t="shared" si="16"/>
        <v>2250.83</v>
      </c>
      <c r="R52">
        <f t="shared" si="17"/>
        <v>969.17</v>
      </c>
      <c r="S52">
        <f t="shared" si="18"/>
        <v>37981.339999999997</v>
      </c>
      <c r="T52">
        <f t="shared" si="19"/>
        <v>0</v>
      </c>
      <c r="U52">
        <f t="shared" si="20"/>
        <v>157.04303745000001</v>
      </c>
      <c r="V52">
        <f t="shared" si="21"/>
        <v>0</v>
      </c>
      <c r="W52">
        <f t="shared" si="22"/>
        <v>0</v>
      </c>
      <c r="X52">
        <f t="shared" si="23"/>
        <v>32284.14</v>
      </c>
      <c r="Y52">
        <f t="shared" si="24"/>
        <v>15572.35</v>
      </c>
      <c r="AA52">
        <v>44962055</v>
      </c>
      <c r="AB52">
        <f t="shared" si="25"/>
        <v>557.76800000000003</v>
      </c>
      <c r="AC52">
        <f t="shared" ref="AC52:AC93" si="51">ROUND((ES52),6)</f>
        <v>25.24</v>
      </c>
      <c r="AD52">
        <f>ROUND(((ET52*1.25)),6)</f>
        <v>82.337500000000006</v>
      </c>
      <c r="AE52">
        <f>ROUND(((EU52*1.25)),6)</f>
        <v>11.487500000000001</v>
      </c>
      <c r="AF52">
        <f>ROUND(((EV52*1.15)),6)</f>
        <v>450.19049999999999</v>
      </c>
      <c r="AG52">
        <f t="shared" si="27"/>
        <v>0</v>
      </c>
      <c r="AH52">
        <f>((EW52*1.15))</f>
        <v>37.972999999999999</v>
      </c>
      <c r="AI52">
        <f>((EX52*1.25))</f>
        <v>0</v>
      </c>
      <c r="AJ52">
        <f t="shared" si="28"/>
        <v>0</v>
      </c>
      <c r="AK52">
        <v>482.58</v>
      </c>
      <c r="AL52">
        <v>25.24</v>
      </c>
      <c r="AM52">
        <v>65.87</v>
      </c>
      <c r="AN52">
        <v>9.19</v>
      </c>
      <c r="AO52">
        <v>391.47</v>
      </c>
      <c r="AP52">
        <v>0</v>
      </c>
      <c r="AQ52">
        <v>33.020000000000003</v>
      </c>
      <c r="AR52">
        <v>0</v>
      </c>
      <c r="AS52">
        <v>0</v>
      </c>
      <c r="AT52">
        <v>85</v>
      </c>
      <c r="AU52">
        <v>41</v>
      </c>
      <c r="AV52">
        <v>1.0469999999999999</v>
      </c>
      <c r="AW52">
        <v>1</v>
      </c>
      <c r="AZ52">
        <v>1</v>
      </c>
      <c r="BA52">
        <v>20.399999999999999</v>
      </c>
      <c r="BB52">
        <v>6.61</v>
      </c>
      <c r="BC52">
        <v>2.91</v>
      </c>
      <c r="BD52" t="s">
        <v>3</v>
      </c>
      <c r="BE52" t="s">
        <v>3</v>
      </c>
      <c r="BF52" t="s">
        <v>3</v>
      </c>
      <c r="BG52" t="s">
        <v>3</v>
      </c>
      <c r="BH52">
        <v>0</v>
      </c>
      <c r="BI52">
        <v>1</v>
      </c>
      <c r="BJ52" t="s">
        <v>153</v>
      </c>
      <c r="BM52">
        <v>89</v>
      </c>
      <c r="BN52">
        <v>0</v>
      </c>
      <c r="BO52" t="s">
        <v>151</v>
      </c>
      <c r="BP52">
        <v>1</v>
      </c>
      <c r="BQ52">
        <v>30</v>
      </c>
      <c r="BR52">
        <v>0</v>
      </c>
      <c r="BS52">
        <v>20.399999999999999</v>
      </c>
      <c r="BT52">
        <v>1</v>
      </c>
      <c r="BU52">
        <v>1</v>
      </c>
      <c r="BV52">
        <v>1</v>
      </c>
      <c r="BW52">
        <v>1</v>
      </c>
      <c r="BX52">
        <v>1</v>
      </c>
      <c r="BY52" t="s">
        <v>3</v>
      </c>
      <c r="BZ52">
        <v>85</v>
      </c>
      <c r="CA52">
        <v>41</v>
      </c>
      <c r="CE52">
        <v>0</v>
      </c>
      <c r="CF52">
        <v>0</v>
      </c>
      <c r="CG52">
        <v>0</v>
      </c>
      <c r="CM52">
        <v>0</v>
      </c>
      <c r="CN52" t="s">
        <v>16</v>
      </c>
      <c r="CO52">
        <v>0</v>
      </c>
      <c r="CP52">
        <f t="shared" si="29"/>
        <v>40522.289999999994</v>
      </c>
      <c r="CQ52">
        <f t="shared" si="30"/>
        <v>73.448399999999992</v>
      </c>
      <c r="CR52">
        <f t="shared" si="31"/>
        <v>569.83066612499999</v>
      </c>
      <c r="CS52">
        <f t="shared" si="32"/>
        <v>245.35921499999998</v>
      </c>
      <c r="CT52">
        <f t="shared" si="33"/>
        <v>9615.5288513999985</v>
      </c>
      <c r="CU52">
        <f t="shared" si="34"/>
        <v>0</v>
      </c>
      <c r="CV52">
        <f t="shared" si="35"/>
        <v>39.757731</v>
      </c>
      <c r="CW52">
        <f t="shared" si="36"/>
        <v>0</v>
      </c>
      <c r="CX52">
        <f t="shared" si="37"/>
        <v>0</v>
      </c>
      <c r="CY52">
        <f t="shared" si="38"/>
        <v>32284.138999999996</v>
      </c>
      <c r="CZ52">
        <f t="shared" si="39"/>
        <v>15572.349399999997</v>
      </c>
      <c r="DC52" t="s">
        <v>3</v>
      </c>
      <c r="DD52" t="s">
        <v>3</v>
      </c>
      <c r="DE52" t="s">
        <v>17</v>
      </c>
      <c r="DF52" t="s">
        <v>17</v>
      </c>
      <c r="DG52" t="s">
        <v>18</v>
      </c>
      <c r="DH52" t="s">
        <v>3</v>
      </c>
      <c r="DI52" t="s">
        <v>18</v>
      </c>
      <c r="DJ52" t="s">
        <v>17</v>
      </c>
      <c r="DK52" t="s">
        <v>3</v>
      </c>
      <c r="DL52" t="s">
        <v>3</v>
      </c>
      <c r="DM52" t="s">
        <v>3</v>
      </c>
      <c r="DN52">
        <v>104</v>
      </c>
      <c r="DO52">
        <v>70</v>
      </c>
      <c r="DP52">
        <v>1.0469999999999999</v>
      </c>
      <c r="DQ52">
        <v>1</v>
      </c>
      <c r="DU52">
        <v>1013</v>
      </c>
      <c r="DV52" t="s">
        <v>135</v>
      </c>
      <c r="DW52" t="s">
        <v>135</v>
      </c>
      <c r="DX52">
        <v>1</v>
      </c>
      <c r="EE52">
        <v>41867537</v>
      </c>
      <c r="EF52">
        <v>30</v>
      </c>
      <c r="EG52" t="s">
        <v>19</v>
      </c>
      <c r="EH52">
        <v>0</v>
      </c>
      <c r="EI52" t="s">
        <v>3</v>
      </c>
      <c r="EJ52">
        <v>1</v>
      </c>
      <c r="EK52">
        <v>89</v>
      </c>
      <c r="EL52" t="s">
        <v>130</v>
      </c>
      <c r="EM52" t="s">
        <v>131</v>
      </c>
      <c r="EO52" t="s">
        <v>22</v>
      </c>
      <c r="EQ52">
        <v>0</v>
      </c>
      <c r="ER52">
        <v>482.58</v>
      </c>
      <c r="ES52">
        <v>25.24</v>
      </c>
      <c r="ET52">
        <v>65.87</v>
      </c>
      <c r="EU52">
        <v>9.19</v>
      </c>
      <c r="EV52">
        <v>391.47</v>
      </c>
      <c r="EW52">
        <v>33.020000000000003</v>
      </c>
      <c r="EX52">
        <v>0</v>
      </c>
      <c r="EY52">
        <v>0</v>
      </c>
      <c r="FQ52">
        <v>0</v>
      </c>
      <c r="FR52">
        <f t="shared" si="40"/>
        <v>0</v>
      </c>
      <c r="FS52">
        <v>0</v>
      </c>
      <c r="FX52">
        <v>104</v>
      </c>
      <c r="FY52">
        <v>70</v>
      </c>
      <c r="GA52" t="s">
        <v>3</v>
      </c>
      <c r="GD52">
        <v>0</v>
      </c>
      <c r="GF52">
        <v>1934236824</v>
      </c>
      <c r="GG52">
        <v>2</v>
      </c>
      <c r="GH52">
        <v>1</v>
      </c>
      <c r="GI52">
        <v>2</v>
      </c>
      <c r="GJ52">
        <v>0</v>
      </c>
      <c r="GK52">
        <f>ROUND(R52*(R12)/100,2)</f>
        <v>1521.6</v>
      </c>
      <c r="GL52">
        <f t="shared" si="41"/>
        <v>0</v>
      </c>
      <c r="GM52">
        <f>ROUND(O52+X52+Y52+GK52,2)+GX52</f>
        <v>89900.38</v>
      </c>
      <c r="GN52">
        <f>IF(OR(BI52=0,BI52=1),ROUND(O52+X52+Y52+GK52,2),0)</f>
        <v>89900.38</v>
      </c>
      <c r="GO52">
        <f>IF(BI52=2,ROUND(O52+X52+Y52+GK52,2),0)</f>
        <v>0</v>
      </c>
      <c r="GP52">
        <f>IF(BI52=4,ROUND(O52+X52+Y52+GK52,2)+GX52,0)</f>
        <v>0</v>
      </c>
      <c r="GR52">
        <v>0</v>
      </c>
      <c r="GS52">
        <v>3</v>
      </c>
      <c r="GT52">
        <v>0</v>
      </c>
      <c r="GU52" t="s">
        <v>3</v>
      </c>
      <c r="GV52">
        <f t="shared" si="42"/>
        <v>0</v>
      </c>
      <c r="GW52">
        <v>1</v>
      </c>
      <c r="GX52">
        <f t="shared" si="43"/>
        <v>0</v>
      </c>
      <c r="HA52">
        <v>0</v>
      </c>
      <c r="HB52">
        <v>0</v>
      </c>
      <c r="HC52">
        <f t="shared" si="44"/>
        <v>0</v>
      </c>
      <c r="IK52">
        <v>0</v>
      </c>
    </row>
    <row r="53" spans="1:245" x14ac:dyDescent="0.2">
      <c r="A53">
        <v>18</v>
      </c>
      <c r="B53">
        <v>1</v>
      </c>
      <c r="C53">
        <v>76</v>
      </c>
      <c r="E53" t="s">
        <v>154</v>
      </c>
      <c r="F53" t="s">
        <v>155</v>
      </c>
      <c r="G53" t="s">
        <v>156</v>
      </c>
      <c r="H53" t="s">
        <v>55</v>
      </c>
      <c r="I53">
        <f>I52*J53</f>
        <v>79</v>
      </c>
      <c r="J53">
        <v>20</v>
      </c>
      <c r="O53">
        <f t="shared" si="14"/>
        <v>4027.1</v>
      </c>
      <c r="P53">
        <f t="shared" si="15"/>
        <v>4027.1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44962055</v>
      </c>
      <c r="AB53">
        <f t="shared" si="25"/>
        <v>21.24</v>
      </c>
      <c r="AC53">
        <f t="shared" si="51"/>
        <v>21.24</v>
      </c>
      <c r="AD53">
        <f t="shared" ref="AD53:AF54" si="52">ROUND((ET53),6)</f>
        <v>0</v>
      </c>
      <c r="AE53">
        <f t="shared" si="52"/>
        <v>0</v>
      </c>
      <c r="AF53">
        <f t="shared" si="52"/>
        <v>0</v>
      </c>
      <c r="AG53">
        <f t="shared" si="27"/>
        <v>0</v>
      </c>
      <c r="AH53">
        <f>(EW53)</f>
        <v>0</v>
      </c>
      <c r="AI53">
        <f>(EX53)</f>
        <v>0</v>
      </c>
      <c r="AJ53">
        <f t="shared" si="28"/>
        <v>0</v>
      </c>
      <c r="AK53">
        <v>21.24</v>
      </c>
      <c r="AL53">
        <v>21.24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2.4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157</v>
      </c>
      <c r="BM53">
        <v>89</v>
      </c>
      <c r="BN53">
        <v>0</v>
      </c>
      <c r="BO53" t="s">
        <v>155</v>
      </c>
      <c r="BP53">
        <v>1</v>
      </c>
      <c r="BQ53">
        <v>30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E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29"/>
        <v>4027.1</v>
      </c>
      <c r="CQ53">
        <f t="shared" si="30"/>
        <v>50.975999999999992</v>
      </c>
      <c r="CR53">
        <f t="shared" si="31"/>
        <v>0</v>
      </c>
      <c r="CS53">
        <f t="shared" si="32"/>
        <v>0</v>
      </c>
      <c r="CT53">
        <f t="shared" si="33"/>
        <v>0</v>
      </c>
      <c r="CU53">
        <f t="shared" si="34"/>
        <v>0</v>
      </c>
      <c r="CV53">
        <f t="shared" si="35"/>
        <v>0</v>
      </c>
      <c r="CW53">
        <f t="shared" si="36"/>
        <v>0</v>
      </c>
      <c r="CX53">
        <f t="shared" si="37"/>
        <v>0</v>
      </c>
      <c r="CY53">
        <f t="shared" si="38"/>
        <v>0</v>
      </c>
      <c r="CZ53">
        <f t="shared" si="39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104</v>
      </c>
      <c r="DO53">
        <v>70</v>
      </c>
      <c r="DP53">
        <v>1.0469999999999999</v>
      </c>
      <c r="DQ53">
        <v>1</v>
      </c>
      <c r="DU53">
        <v>1009</v>
      </c>
      <c r="DV53" t="s">
        <v>55</v>
      </c>
      <c r="DW53" t="s">
        <v>55</v>
      </c>
      <c r="DX53">
        <v>1</v>
      </c>
      <c r="EE53">
        <v>41867537</v>
      </c>
      <c r="EF53">
        <v>30</v>
      </c>
      <c r="EG53" t="s">
        <v>19</v>
      </c>
      <c r="EH53">
        <v>0</v>
      </c>
      <c r="EI53" t="s">
        <v>3</v>
      </c>
      <c r="EJ53">
        <v>1</v>
      </c>
      <c r="EK53">
        <v>89</v>
      </c>
      <c r="EL53" t="s">
        <v>130</v>
      </c>
      <c r="EM53" t="s">
        <v>131</v>
      </c>
      <c r="EO53" t="s">
        <v>3</v>
      </c>
      <c r="EQ53">
        <v>0</v>
      </c>
      <c r="ER53">
        <v>21.24</v>
      </c>
      <c r="ES53">
        <v>21.24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0"/>
        <v>0</v>
      </c>
      <c r="FS53">
        <v>0</v>
      </c>
      <c r="FX53">
        <v>104</v>
      </c>
      <c r="FY53">
        <v>70</v>
      </c>
      <c r="GA53" t="s">
        <v>3</v>
      </c>
      <c r="GD53">
        <v>1</v>
      </c>
      <c r="GF53">
        <v>-1253196012</v>
      </c>
      <c r="GG53">
        <v>2</v>
      </c>
      <c r="GH53">
        <v>1</v>
      </c>
      <c r="GI53">
        <v>2</v>
      </c>
      <c r="GJ53">
        <v>0</v>
      </c>
      <c r="GK53">
        <v>0</v>
      </c>
      <c r="GL53">
        <f t="shared" si="41"/>
        <v>0</v>
      </c>
      <c r="GM53">
        <f>ROUND(O53+X53+Y53,2)+GX53</f>
        <v>4027.1</v>
      </c>
      <c r="GN53">
        <f>IF(OR(BI53=0,BI53=1),ROUND(O53+X53+Y53,2),0)</f>
        <v>4027.1</v>
      </c>
      <c r="GO53">
        <f>IF(BI53=2,ROUND(O53+X53+Y53,2),0)</f>
        <v>0</v>
      </c>
      <c r="GP53">
        <f>IF(BI53=4,ROUND(O53+X53+Y53,2)+GX53,0)</f>
        <v>0</v>
      </c>
      <c r="GR53">
        <v>0</v>
      </c>
      <c r="GS53">
        <v>3</v>
      </c>
      <c r="GT53">
        <v>0</v>
      </c>
      <c r="GU53" t="s">
        <v>3</v>
      </c>
      <c r="GV53">
        <f t="shared" si="42"/>
        <v>0</v>
      </c>
      <c r="GW53">
        <v>1</v>
      </c>
      <c r="GX53">
        <f t="shared" si="43"/>
        <v>0</v>
      </c>
      <c r="HA53">
        <v>0</v>
      </c>
      <c r="HB53">
        <v>0</v>
      </c>
      <c r="HC53">
        <f t="shared" si="44"/>
        <v>0</v>
      </c>
      <c r="IK53">
        <v>0</v>
      </c>
    </row>
    <row r="54" spans="1:245" x14ac:dyDescent="0.2">
      <c r="A54">
        <v>18</v>
      </c>
      <c r="B54">
        <v>1</v>
      </c>
      <c r="C54">
        <v>77</v>
      </c>
      <c r="E54" t="s">
        <v>158</v>
      </c>
      <c r="F54" t="s">
        <v>159</v>
      </c>
      <c r="G54" t="s">
        <v>160</v>
      </c>
      <c r="H54" t="s">
        <v>77</v>
      </c>
      <c r="I54">
        <f>I52*J54</f>
        <v>3.3258999999999999</v>
      </c>
      <c r="J54">
        <v>0.84199999999999997</v>
      </c>
      <c r="O54">
        <f t="shared" si="14"/>
        <v>232697.98</v>
      </c>
      <c r="P54">
        <f t="shared" si="15"/>
        <v>232697.98</v>
      </c>
      <c r="Q54">
        <f t="shared" si="16"/>
        <v>0</v>
      </c>
      <c r="R54">
        <f t="shared" si="17"/>
        <v>0</v>
      </c>
      <c r="S54">
        <f t="shared" si="18"/>
        <v>0</v>
      </c>
      <c r="T54">
        <f t="shared" si="19"/>
        <v>0</v>
      </c>
      <c r="U54">
        <f t="shared" si="20"/>
        <v>0</v>
      </c>
      <c r="V54">
        <f t="shared" si="21"/>
        <v>0</v>
      </c>
      <c r="W54">
        <f t="shared" si="22"/>
        <v>0</v>
      </c>
      <c r="X54">
        <f t="shared" si="23"/>
        <v>0</v>
      </c>
      <c r="Y54">
        <f t="shared" si="24"/>
        <v>0</v>
      </c>
      <c r="AA54">
        <v>44962055</v>
      </c>
      <c r="AB54">
        <f t="shared" si="25"/>
        <v>16698.189999999999</v>
      </c>
      <c r="AC54">
        <f t="shared" si="51"/>
        <v>16698.189999999999</v>
      </c>
      <c r="AD54">
        <f t="shared" si="52"/>
        <v>0</v>
      </c>
      <c r="AE54">
        <f t="shared" si="52"/>
        <v>0</v>
      </c>
      <c r="AF54">
        <f t="shared" si="52"/>
        <v>0</v>
      </c>
      <c r="AG54">
        <f t="shared" si="27"/>
        <v>0</v>
      </c>
      <c r="AH54">
        <f>(EW54)</f>
        <v>0</v>
      </c>
      <c r="AI54">
        <f>(EX54)</f>
        <v>0</v>
      </c>
      <c r="AJ54">
        <f t="shared" si="28"/>
        <v>0</v>
      </c>
      <c r="AK54">
        <v>16698.189999999999</v>
      </c>
      <c r="AL54">
        <v>16698.189999999999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4.1900000000000004</v>
      </c>
      <c r="BD54" t="s">
        <v>3</v>
      </c>
      <c r="BE54" t="s">
        <v>3</v>
      </c>
      <c r="BF54" t="s">
        <v>3</v>
      </c>
      <c r="BG54" t="s">
        <v>3</v>
      </c>
      <c r="BH54">
        <v>3</v>
      </c>
      <c r="BI54">
        <v>1</v>
      </c>
      <c r="BJ54" t="s">
        <v>161</v>
      </c>
      <c r="BM54">
        <v>89</v>
      </c>
      <c r="BN54">
        <v>0</v>
      </c>
      <c r="BO54" t="s">
        <v>159</v>
      </c>
      <c r="BP54">
        <v>1</v>
      </c>
      <c r="BQ54">
        <v>30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 t="s">
        <v>3</v>
      </c>
      <c r="BZ54">
        <v>0</v>
      </c>
      <c r="CA54">
        <v>0</v>
      </c>
      <c r="CE54">
        <v>0</v>
      </c>
      <c r="CF54">
        <v>0</v>
      </c>
      <c r="CG54">
        <v>0</v>
      </c>
      <c r="CM54">
        <v>0</v>
      </c>
      <c r="CN54" t="s">
        <v>3</v>
      </c>
      <c r="CO54">
        <v>0</v>
      </c>
      <c r="CP54">
        <f t="shared" si="29"/>
        <v>232697.98</v>
      </c>
      <c r="CQ54">
        <f t="shared" si="30"/>
        <v>69965.416100000002</v>
      </c>
      <c r="CR54">
        <f t="shared" si="31"/>
        <v>0</v>
      </c>
      <c r="CS54">
        <f t="shared" si="32"/>
        <v>0</v>
      </c>
      <c r="CT54">
        <f t="shared" si="33"/>
        <v>0</v>
      </c>
      <c r="CU54">
        <f t="shared" si="34"/>
        <v>0</v>
      </c>
      <c r="CV54">
        <f t="shared" si="35"/>
        <v>0</v>
      </c>
      <c r="CW54">
        <f t="shared" si="36"/>
        <v>0</v>
      </c>
      <c r="CX54">
        <f t="shared" si="37"/>
        <v>0</v>
      </c>
      <c r="CY54">
        <f t="shared" si="38"/>
        <v>0</v>
      </c>
      <c r="CZ54">
        <f t="shared" si="39"/>
        <v>0</v>
      </c>
      <c r="DC54" t="s">
        <v>3</v>
      </c>
      <c r="DD54" t="s">
        <v>3</v>
      </c>
      <c r="DE54" t="s">
        <v>3</v>
      </c>
      <c r="DF54" t="s">
        <v>3</v>
      </c>
      <c r="DG54" t="s">
        <v>3</v>
      </c>
      <c r="DH54" t="s">
        <v>3</v>
      </c>
      <c r="DI54" t="s">
        <v>3</v>
      </c>
      <c r="DJ54" t="s">
        <v>3</v>
      </c>
      <c r="DK54" t="s">
        <v>3</v>
      </c>
      <c r="DL54" t="s">
        <v>3</v>
      </c>
      <c r="DM54" t="s">
        <v>3</v>
      </c>
      <c r="DN54">
        <v>104</v>
      </c>
      <c r="DO54">
        <v>70</v>
      </c>
      <c r="DP54">
        <v>1.0469999999999999</v>
      </c>
      <c r="DQ54">
        <v>1</v>
      </c>
      <c r="DU54">
        <v>1009</v>
      </c>
      <c r="DV54" t="s">
        <v>77</v>
      </c>
      <c r="DW54" t="s">
        <v>77</v>
      </c>
      <c r="DX54">
        <v>1000</v>
      </c>
      <c r="EE54">
        <v>41867537</v>
      </c>
      <c r="EF54">
        <v>30</v>
      </c>
      <c r="EG54" t="s">
        <v>19</v>
      </c>
      <c r="EH54">
        <v>0</v>
      </c>
      <c r="EI54" t="s">
        <v>3</v>
      </c>
      <c r="EJ54">
        <v>1</v>
      </c>
      <c r="EK54">
        <v>89</v>
      </c>
      <c r="EL54" t="s">
        <v>130</v>
      </c>
      <c r="EM54" t="s">
        <v>131</v>
      </c>
      <c r="EO54" t="s">
        <v>3</v>
      </c>
      <c r="EQ54">
        <v>0</v>
      </c>
      <c r="ER54">
        <v>16698.189999999999</v>
      </c>
      <c r="ES54">
        <v>16698.189999999999</v>
      </c>
      <c r="ET54">
        <v>0</v>
      </c>
      <c r="EU54">
        <v>0</v>
      </c>
      <c r="EV54">
        <v>0</v>
      </c>
      <c r="EW54">
        <v>0</v>
      </c>
      <c r="EX54">
        <v>0</v>
      </c>
      <c r="FQ54">
        <v>0</v>
      </c>
      <c r="FR54">
        <f t="shared" si="40"/>
        <v>0</v>
      </c>
      <c r="FS54">
        <v>0</v>
      </c>
      <c r="FX54">
        <v>104</v>
      </c>
      <c r="FY54">
        <v>70</v>
      </c>
      <c r="GA54" t="s">
        <v>3</v>
      </c>
      <c r="GD54">
        <v>1</v>
      </c>
      <c r="GF54">
        <v>-734549844</v>
      </c>
      <c r="GG54">
        <v>2</v>
      </c>
      <c r="GH54">
        <v>1</v>
      </c>
      <c r="GI54">
        <v>2</v>
      </c>
      <c r="GJ54">
        <v>0</v>
      </c>
      <c r="GK54">
        <v>0</v>
      </c>
      <c r="GL54">
        <f t="shared" si="41"/>
        <v>0</v>
      </c>
      <c r="GM54">
        <f>ROUND(O54+X54+Y54,2)+GX54</f>
        <v>232697.98</v>
      </c>
      <c r="GN54">
        <f>IF(OR(BI54=0,BI54=1),ROUND(O54+X54+Y54,2),0)</f>
        <v>232697.98</v>
      </c>
      <c r="GO54">
        <f>IF(BI54=2,ROUND(O54+X54+Y54,2),0)</f>
        <v>0</v>
      </c>
      <c r="GP54">
        <f>IF(BI54=4,ROUND(O54+X54+Y54,2)+GX54,0)</f>
        <v>0</v>
      </c>
      <c r="GR54">
        <v>0</v>
      </c>
      <c r="GS54">
        <v>3</v>
      </c>
      <c r="GT54">
        <v>0</v>
      </c>
      <c r="GU54" t="s">
        <v>3</v>
      </c>
      <c r="GV54">
        <f t="shared" si="42"/>
        <v>0</v>
      </c>
      <c r="GW54">
        <v>1</v>
      </c>
      <c r="GX54">
        <f t="shared" si="43"/>
        <v>0</v>
      </c>
      <c r="HA54">
        <v>0</v>
      </c>
      <c r="HB54">
        <v>0</v>
      </c>
      <c r="HC54">
        <f t="shared" si="44"/>
        <v>0</v>
      </c>
      <c r="IK54">
        <v>0</v>
      </c>
    </row>
    <row r="55" spans="1:245" x14ac:dyDescent="0.2">
      <c r="A55">
        <v>17</v>
      </c>
      <c r="B55">
        <v>1</v>
      </c>
      <c r="C55">
        <f>ROW(SmtRes!A82)</f>
        <v>82</v>
      </c>
      <c r="D55">
        <f>ROW(EtalonRes!A79)</f>
        <v>79</v>
      </c>
      <c r="E55" t="s">
        <v>162</v>
      </c>
      <c r="F55" t="s">
        <v>163</v>
      </c>
      <c r="G55" t="s">
        <v>164</v>
      </c>
      <c r="H55" t="s">
        <v>135</v>
      </c>
      <c r="I55">
        <f>ROUND(395/100,9)</f>
        <v>3.95</v>
      </c>
      <c r="J55">
        <v>0</v>
      </c>
      <c r="O55">
        <f t="shared" si="14"/>
        <v>4621.1400000000003</v>
      </c>
      <c r="P55">
        <f t="shared" si="15"/>
        <v>4.78</v>
      </c>
      <c r="Q55">
        <f t="shared" si="16"/>
        <v>340.59</v>
      </c>
      <c r="R55">
        <f t="shared" si="17"/>
        <v>153.97</v>
      </c>
      <c r="S55">
        <f t="shared" si="18"/>
        <v>4275.7700000000004</v>
      </c>
      <c r="T55">
        <f t="shared" si="19"/>
        <v>0</v>
      </c>
      <c r="U55">
        <f t="shared" si="20"/>
        <v>16.360631399999995</v>
      </c>
      <c r="V55">
        <f t="shared" si="21"/>
        <v>0</v>
      </c>
      <c r="W55">
        <f t="shared" si="22"/>
        <v>0</v>
      </c>
      <c r="X55">
        <f t="shared" si="23"/>
        <v>3634.4</v>
      </c>
      <c r="Y55">
        <f t="shared" si="24"/>
        <v>1753.07</v>
      </c>
      <c r="AA55">
        <v>44962055</v>
      </c>
      <c r="AB55">
        <f t="shared" si="25"/>
        <v>62.345500000000001</v>
      </c>
      <c r="AC55">
        <f t="shared" si="51"/>
        <v>0.28999999999999998</v>
      </c>
      <c r="AD55">
        <f>ROUND(((ET55*1.25)),6)</f>
        <v>11.375</v>
      </c>
      <c r="AE55">
        <f>ROUND(((EU55*1.25)),6)</f>
        <v>1.825</v>
      </c>
      <c r="AF55">
        <f>ROUND(((EV55*1.15)),6)</f>
        <v>50.680500000000002</v>
      </c>
      <c r="AG55">
        <f t="shared" si="27"/>
        <v>0</v>
      </c>
      <c r="AH55">
        <f>((EW55*1.15))</f>
        <v>3.9559999999999995</v>
      </c>
      <c r="AI55">
        <f>((EX55*1.25))</f>
        <v>0</v>
      </c>
      <c r="AJ55">
        <f t="shared" si="28"/>
        <v>0</v>
      </c>
      <c r="AK55">
        <v>53.46</v>
      </c>
      <c r="AL55">
        <v>0.28999999999999998</v>
      </c>
      <c r="AM55">
        <v>9.1</v>
      </c>
      <c r="AN55">
        <v>1.46</v>
      </c>
      <c r="AO55">
        <v>44.07</v>
      </c>
      <c r="AP55">
        <v>0</v>
      </c>
      <c r="AQ55">
        <v>3.44</v>
      </c>
      <c r="AR55">
        <v>0</v>
      </c>
      <c r="AS55">
        <v>0</v>
      </c>
      <c r="AT55">
        <v>85</v>
      </c>
      <c r="AU55">
        <v>41</v>
      </c>
      <c r="AV55">
        <v>1.0469999999999999</v>
      </c>
      <c r="AW55">
        <v>1</v>
      </c>
      <c r="AZ55">
        <v>1</v>
      </c>
      <c r="BA55">
        <v>20.399999999999999</v>
      </c>
      <c r="BB55">
        <v>7.24</v>
      </c>
      <c r="BC55">
        <v>4.17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165</v>
      </c>
      <c r="BM55">
        <v>89</v>
      </c>
      <c r="BN55">
        <v>0</v>
      </c>
      <c r="BO55" t="s">
        <v>163</v>
      </c>
      <c r="BP55">
        <v>1</v>
      </c>
      <c r="BQ55">
        <v>30</v>
      </c>
      <c r="BR55">
        <v>0</v>
      </c>
      <c r="BS55">
        <v>20.399999999999999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85</v>
      </c>
      <c r="CA55">
        <v>41</v>
      </c>
      <c r="CE55">
        <v>0</v>
      </c>
      <c r="CF55">
        <v>0</v>
      </c>
      <c r="CG55">
        <v>0</v>
      </c>
      <c r="CM55">
        <v>0</v>
      </c>
      <c r="CN55" t="s">
        <v>16</v>
      </c>
      <c r="CO55">
        <v>0</v>
      </c>
      <c r="CP55">
        <f t="shared" si="29"/>
        <v>4621.1400000000003</v>
      </c>
      <c r="CQ55">
        <f t="shared" si="30"/>
        <v>1.2092999999999998</v>
      </c>
      <c r="CR55">
        <f t="shared" si="31"/>
        <v>86.225684999999999</v>
      </c>
      <c r="CS55">
        <f t="shared" si="32"/>
        <v>38.979809999999993</v>
      </c>
      <c r="CT55">
        <f t="shared" si="33"/>
        <v>1082.4746634000001</v>
      </c>
      <c r="CU55">
        <f t="shared" si="34"/>
        <v>0</v>
      </c>
      <c r="CV55">
        <f t="shared" si="35"/>
        <v>4.1419319999999988</v>
      </c>
      <c r="CW55">
        <f t="shared" si="36"/>
        <v>0</v>
      </c>
      <c r="CX55">
        <f t="shared" si="37"/>
        <v>0</v>
      </c>
      <c r="CY55">
        <f t="shared" si="38"/>
        <v>3634.4045000000001</v>
      </c>
      <c r="CZ55">
        <f t="shared" si="39"/>
        <v>1753.0657000000001</v>
      </c>
      <c r="DC55" t="s">
        <v>3</v>
      </c>
      <c r="DD55" t="s">
        <v>3</v>
      </c>
      <c r="DE55" t="s">
        <v>17</v>
      </c>
      <c r="DF55" t="s">
        <v>17</v>
      </c>
      <c r="DG55" t="s">
        <v>18</v>
      </c>
      <c r="DH55" t="s">
        <v>3</v>
      </c>
      <c r="DI55" t="s">
        <v>18</v>
      </c>
      <c r="DJ55" t="s">
        <v>17</v>
      </c>
      <c r="DK55" t="s">
        <v>3</v>
      </c>
      <c r="DL55" t="s">
        <v>3</v>
      </c>
      <c r="DM55" t="s">
        <v>3</v>
      </c>
      <c r="DN55">
        <v>104</v>
      </c>
      <c r="DO55">
        <v>70</v>
      </c>
      <c r="DP55">
        <v>1.0469999999999999</v>
      </c>
      <c r="DQ55">
        <v>1</v>
      </c>
      <c r="DU55">
        <v>1013</v>
      </c>
      <c r="DV55" t="s">
        <v>135</v>
      </c>
      <c r="DW55" t="s">
        <v>135</v>
      </c>
      <c r="DX55">
        <v>1</v>
      </c>
      <c r="EE55">
        <v>41867537</v>
      </c>
      <c r="EF55">
        <v>30</v>
      </c>
      <c r="EG55" t="s">
        <v>19</v>
      </c>
      <c r="EH55">
        <v>0</v>
      </c>
      <c r="EI55" t="s">
        <v>3</v>
      </c>
      <c r="EJ55">
        <v>1</v>
      </c>
      <c r="EK55">
        <v>89</v>
      </c>
      <c r="EL55" t="s">
        <v>130</v>
      </c>
      <c r="EM55" t="s">
        <v>131</v>
      </c>
      <c r="EO55" t="s">
        <v>22</v>
      </c>
      <c r="EQ55">
        <v>0</v>
      </c>
      <c r="ER55">
        <v>53.46</v>
      </c>
      <c r="ES55">
        <v>0.28999999999999998</v>
      </c>
      <c r="ET55">
        <v>9.1</v>
      </c>
      <c r="EU55">
        <v>1.46</v>
      </c>
      <c r="EV55">
        <v>44.07</v>
      </c>
      <c r="EW55">
        <v>3.44</v>
      </c>
      <c r="EX55">
        <v>0</v>
      </c>
      <c r="EY55">
        <v>0</v>
      </c>
      <c r="FQ55">
        <v>0</v>
      </c>
      <c r="FR55">
        <f t="shared" si="40"/>
        <v>0</v>
      </c>
      <c r="FS55">
        <v>0</v>
      </c>
      <c r="FX55">
        <v>104</v>
      </c>
      <c r="FY55">
        <v>70</v>
      </c>
      <c r="GA55" t="s">
        <v>3</v>
      </c>
      <c r="GD55">
        <v>0</v>
      </c>
      <c r="GF55">
        <v>-1920789752</v>
      </c>
      <c r="GG55">
        <v>2</v>
      </c>
      <c r="GH55">
        <v>1</v>
      </c>
      <c r="GI55">
        <v>2</v>
      </c>
      <c r="GJ55">
        <v>0</v>
      </c>
      <c r="GK55">
        <f>ROUND(R55*(R12)/100,2)</f>
        <v>241.73</v>
      </c>
      <c r="GL55">
        <f t="shared" si="41"/>
        <v>0</v>
      </c>
      <c r="GM55">
        <f>ROUND(O55+X55+Y55+GK55,2)+GX55</f>
        <v>10250.34</v>
      </c>
      <c r="GN55">
        <f>IF(OR(BI55=0,BI55=1),ROUND(O55+X55+Y55+GK55,2),0)</f>
        <v>10250.34</v>
      </c>
      <c r="GO55">
        <f>IF(BI55=2,ROUND(O55+X55+Y55+GK55,2),0)</f>
        <v>0</v>
      </c>
      <c r="GP55">
        <f>IF(BI55=4,ROUND(O55+X55+Y55+GK55,2)+GX55,0)</f>
        <v>0</v>
      </c>
      <c r="GR55">
        <v>0</v>
      </c>
      <c r="GS55">
        <v>3</v>
      </c>
      <c r="GT55">
        <v>0</v>
      </c>
      <c r="GU55" t="s">
        <v>3</v>
      </c>
      <c r="GV55">
        <f t="shared" si="42"/>
        <v>0</v>
      </c>
      <c r="GW55">
        <v>1</v>
      </c>
      <c r="GX55">
        <f t="shared" si="43"/>
        <v>0</v>
      </c>
      <c r="HA55">
        <v>0</v>
      </c>
      <c r="HB55">
        <v>0</v>
      </c>
      <c r="HC55">
        <f t="shared" si="44"/>
        <v>0</v>
      </c>
      <c r="IK55">
        <v>0</v>
      </c>
    </row>
    <row r="56" spans="1:245" x14ac:dyDescent="0.2">
      <c r="A56">
        <v>18</v>
      </c>
      <c r="B56">
        <v>1</v>
      </c>
      <c r="C56">
        <v>82</v>
      </c>
      <c r="E56" t="s">
        <v>166</v>
      </c>
      <c r="F56" t="s">
        <v>159</v>
      </c>
      <c r="G56" t="s">
        <v>160</v>
      </c>
      <c r="H56" t="s">
        <v>77</v>
      </c>
      <c r="I56">
        <f>I55*J56</f>
        <v>0.66359999999999997</v>
      </c>
      <c r="J56">
        <v>0.16799999999999998</v>
      </c>
      <c r="O56">
        <f t="shared" ref="O56:O87" si="53">ROUND(CP56,2)</f>
        <v>46429.05</v>
      </c>
      <c r="P56">
        <f t="shared" ref="P56:P87" si="54">ROUND(CQ56*I56,2)</f>
        <v>46429.05</v>
      </c>
      <c r="Q56">
        <f t="shared" ref="Q56:Q87" si="55">ROUND(CR56*I56,2)</f>
        <v>0</v>
      </c>
      <c r="R56">
        <f t="shared" ref="R56:R87" si="56">ROUND(CS56*I56,2)</f>
        <v>0</v>
      </c>
      <c r="S56">
        <f t="shared" ref="S56:S87" si="57">ROUND(CT56*I56,2)</f>
        <v>0</v>
      </c>
      <c r="T56">
        <f t="shared" ref="T56:T87" si="58">ROUND(CU56*I56,2)</f>
        <v>0</v>
      </c>
      <c r="U56">
        <f t="shared" ref="U56:U87" si="59">CV56*I56</f>
        <v>0</v>
      </c>
      <c r="V56">
        <f t="shared" ref="V56:V87" si="60">CW56*I56</f>
        <v>0</v>
      </c>
      <c r="W56">
        <f t="shared" ref="W56:W87" si="61">ROUND(CX56*I56,2)</f>
        <v>0</v>
      </c>
      <c r="X56">
        <f t="shared" ref="X56:X87" si="62">ROUND(CY56,2)</f>
        <v>0</v>
      </c>
      <c r="Y56">
        <f t="shared" ref="Y56:Y87" si="63">ROUND(CZ56,2)</f>
        <v>0</v>
      </c>
      <c r="AA56">
        <v>44962055</v>
      </c>
      <c r="AB56">
        <f t="shared" ref="AB56:AB87" si="64">ROUND((AC56+AD56+AF56),6)</f>
        <v>16698.189999999999</v>
      </c>
      <c r="AC56">
        <f t="shared" si="51"/>
        <v>16698.189999999999</v>
      </c>
      <c r="AD56">
        <f>ROUND((ET56),6)</f>
        <v>0</v>
      </c>
      <c r="AE56">
        <f>ROUND((EU56),6)</f>
        <v>0</v>
      </c>
      <c r="AF56">
        <f>ROUND((EV56),6)</f>
        <v>0</v>
      </c>
      <c r="AG56">
        <f t="shared" ref="AG56:AG87" si="65">ROUND((AP56),6)</f>
        <v>0</v>
      </c>
      <c r="AH56">
        <f>(EW56)</f>
        <v>0</v>
      </c>
      <c r="AI56">
        <f>(EX56)</f>
        <v>0</v>
      </c>
      <c r="AJ56">
        <f t="shared" ref="AJ56:AJ87" si="66">(AS56)</f>
        <v>0</v>
      </c>
      <c r="AK56">
        <v>16698.189999999999</v>
      </c>
      <c r="AL56">
        <v>16698.189999999999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1</v>
      </c>
      <c r="AW56">
        <v>1</v>
      </c>
      <c r="AZ56">
        <v>1</v>
      </c>
      <c r="BA56">
        <v>1</v>
      </c>
      <c r="BB56">
        <v>1</v>
      </c>
      <c r="BC56">
        <v>4.1900000000000004</v>
      </c>
      <c r="BD56" t="s">
        <v>3</v>
      </c>
      <c r="BE56" t="s">
        <v>3</v>
      </c>
      <c r="BF56" t="s">
        <v>3</v>
      </c>
      <c r="BG56" t="s">
        <v>3</v>
      </c>
      <c r="BH56">
        <v>3</v>
      </c>
      <c r="BI56">
        <v>1</v>
      </c>
      <c r="BJ56" t="s">
        <v>161</v>
      </c>
      <c r="BM56">
        <v>89</v>
      </c>
      <c r="BN56">
        <v>0</v>
      </c>
      <c r="BO56" t="s">
        <v>159</v>
      </c>
      <c r="BP56">
        <v>1</v>
      </c>
      <c r="BQ56">
        <v>30</v>
      </c>
      <c r="BR56">
        <v>0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 t="s">
        <v>3</v>
      </c>
      <c r="BZ56">
        <v>0</v>
      </c>
      <c r="CA56">
        <v>0</v>
      </c>
      <c r="CE56">
        <v>0</v>
      </c>
      <c r="CF56">
        <v>0</v>
      </c>
      <c r="CG56">
        <v>0</v>
      </c>
      <c r="CM56">
        <v>0</v>
      </c>
      <c r="CN56" t="s">
        <v>16</v>
      </c>
      <c r="CO56">
        <v>0</v>
      </c>
      <c r="CP56">
        <f t="shared" ref="CP56:CP87" si="67">(P56+Q56+S56)</f>
        <v>46429.05</v>
      </c>
      <c r="CQ56">
        <f t="shared" ref="CQ56:CQ87" si="68">(AC56*BC56*AW56)</f>
        <v>69965.416100000002</v>
      </c>
      <c r="CR56">
        <f t="shared" ref="CR56:CR87" si="69">(AD56*BB56*AV56)</f>
        <v>0</v>
      </c>
      <c r="CS56">
        <f t="shared" ref="CS56:CS87" si="70">(AE56*BS56*AV56)</f>
        <v>0</v>
      </c>
      <c r="CT56">
        <f t="shared" ref="CT56:CT87" si="71">(AF56*BA56*AV56)</f>
        <v>0</v>
      </c>
      <c r="CU56">
        <f t="shared" ref="CU56:CU87" si="72">AG56</f>
        <v>0</v>
      </c>
      <c r="CV56">
        <f t="shared" ref="CV56:CV87" si="73">(AH56*AV56)</f>
        <v>0</v>
      </c>
      <c r="CW56">
        <f t="shared" ref="CW56:CW87" si="74">AI56</f>
        <v>0</v>
      </c>
      <c r="CX56">
        <f t="shared" ref="CX56:CX87" si="75">AJ56</f>
        <v>0</v>
      </c>
      <c r="CY56">
        <f t="shared" ref="CY56:CY87" si="76">S56*(BZ56/100)</f>
        <v>0</v>
      </c>
      <c r="CZ56">
        <f t="shared" ref="CZ56:CZ87" si="77">S56*(CA56/100)</f>
        <v>0</v>
      </c>
      <c r="DC56" t="s">
        <v>3</v>
      </c>
      <c r="DD56" t="s">
        <v>3</v>
      </c>
      <c r="DE56" t="s">
        <v>3</v>
      </c>
      <c r="DF56" t="s">
        <v>3</v>
      </c>
      <c r="DG56" t="s">
        <v>3</v>
      </c>
      <c r="DH56" t="s">
        <v>3</v>
      </c>
      <c r="DI56" t="s">
        <v>3</v>
      </c>
      <c r="DJ56" t="s">
        <v>3</v>
      </c>
      <c r="DK56" t="s">
        <v>3</v>
      </c>
      <c r="DL56" t="s">
        <v>3</v>
      </c>
      <c r="DM56" t="s">
        <v>3</v>
      </c>
      <c r="DN56">
        <v>104</v>
      </c>
      <c r="DO56">
        <v>70</v>
      </c>
      <c r="DP56">
        <v>1.0469999999999999</v>
      </c>
      <c r="DQ56">
        <v>1</v>
      </c>
      <c r="DU56">
        <v>1009</v>
      </c>
      <c r="DV56" t="s">
        <v>77</v>
      </c>
      <c r="DW56" t="s">
        <v>77</v>
      </c>
      <c r="DX56">
        <v>1000</v>
      </c>
      <c r="EE56">
        <v>41867537</v>
      </c>
      <c r="EF56">
        <v>30</v>
      </c>
      <c r="EG56" t="s">
        <v>19</v>
      </c>
      <c r="EH56">
        <v>0</v>
      </c>
      <c r="EI56" t="s">
        <v>3</v>
      </c>
      <c r="EJ56">
        <v>1</v>
      </c>
      <c r="EK56">
        <v>89</v>
      </c>
      <c r="EL56" t="s">
        <v>130</v>
      </c>
      <c r="EM56" t="s">
        <v>131</v>
      </c>
      <c r="EO56" t="s">
        <v>22</v>
      </c>
      <c r="EQ56">
        <v>0</v>
      </c>
      <c r="ER56">
        <v>16698.189999999999</v>
      </c>
      <c r="ES56">
        <v>16698.189999999999</v>
      </c>
      <c r="ET56">
        <v>0</v>
      </c>
      <c r="EU56">
        <v>0</v>
      </c>
      <c r="EV56">
        <v>0</v>
      </c>
      <c r="EW56">
        <v>0</v>
      </c>
      <c r="EX56">
        <v>0</v>
      </c>
      <c r="FQ56">
        <v>0</v>
      </c>
      <c r="FR56">
        <f t="shared" ref="FR56:FR87" si="78">ROUND(IF(AND(BH56=3,BI56=3),P56,0),2)</f>
        <v>0</v>
      </c>
      <c r="FS56">
        <v>0</v>
      </c>
      <c r="FX56">
        <v>104</v>
      </c>
      <c r="FY56">
        <v>70</v>
      </c>
      <c r="GA56" t="s">
        <v>3</v>
      </c>
      <c r="GD56">
        <v>1</v>
      </c>
      <c r="GF56">
        <v>-734549844</v>
      </c>
      <c r="GG56">
        <v>2</v>
      </c>
      <c r="GH56">
        <v>1</v>
      </c>
      <c r="GI56">
        <v>2</v>
      </c>
      <c r="GJ56">
        <v>0</v>
      </c>
      <c r="GK56">
        <v>0</v>
      </c>
      <c r="GL56">
        <f t="shared" ref="GL56:GL87" si="79">ROUND(IF(AND(BH56=3,BI56=3,FS56&lt;&gt;0),P56,0),2)</f>
        <v>0</v>
      </c>
      <c r="GM56">
        <f>ROUND(O56+X56+Y56,2)+GX56</f>
        <v>46429.05</v>
      </c>
      <c r="GN56">
        <f>IF(OR(BI56=0,BI56=1),ROUND(O56+X56+Y56,2),0)</f>
        <v>46429.05</v>
      </c>
      <c r="GO56">
        <f>IF(BI56=2,ROUND(O56+X56+Y56,2),0)</f>
        <v>0</v>
      </c>
      <c r="GP56">
        <f>IF(BI56=4,ROUND(O56+X56+Y56,2)+GX56,0)</f>
        <v>0</v>
      </c>
      <c r="GR56">
        <v>0</v>
      </c>
      <c r="GS56">
        <v>3</v>
      </c>
      <c r="GT56">
        <v>0</v>
      </c>
      <c r="GU56" t="s">
        <v>3</v>
      </c>
      <c r="GV56">
        <f t="shared" ref="GV56:GV87" si="80">ROUND((GT56),6)</f>
        <v>0</v>
      </c>
      <c r="GW56">
        <v>1</v>
      </c>
      <c r="GX56">
        <f t="shared" ref="GX56:GX87" si="81">ROUND(HC56*I56,2)</f>
        <v>0</v>
      </c>
      <c r="HA56">
        <v>0</v>
      </c>
      <c r="HB56">
        <v>0</v>
      </c>
      <c r="HC56">
        <f t="shared" ref="HC56:HC87" si="82">GV56*GW56</f>
        <v>0</v>
      </c>
      <c r="IK56">
        <v>0</v>
      </c>
    </row>
    <row r="57" spans="1:245" x14ac:dyDescent="0.2">
      <c r="A57">
        <v>17</v>
      </c>
      <c r="B57">
        <v>1</v>
      </c>
      <c r="C57">
        <f>ROW(SmtRes!A87)</f>
        <v>87</v>
      </c>
      <c r="D57">
        <f>ROW(EtalonRes!A84)</f>
        <v>84</v>
      </c>
      <c r="E57" t="s">
        <v>167</v>
      </c>
      <c r="F57" t="s">
        <v>168</v>
      </c>
      <c r="G57" t="s">
        <v>169</v>
      </c>
      <c r="H57" t="s">
        <v>170</v>
      </c>
      <c r="I57">
        <f>ROUND(395/100,9)</f>
        <v>3.95</v>
      </c>
      <c r="J57">
        <v>0</v>
      </c>
      <c r="O57">
        <f t="shared" si="53"/>
        <v>47086.720000000001</v>
      </c>
      <c r="P57">
        <f t="shared" si="54"/>
        <v>20.25</v>
      </c>
      <c r="Q57">
        <f t="shared" si="55"/>
        <v>2962.05</v>
      </c>
      <c r="R57">
        <f t="shared" si="56"/>
        <v>1595.6</v>
      </c>
      <c r="S57">
        <f t="shared" si="57"/>
        <v>44104.42</v>
      </c>
      <c r="T57">
        <f t="shared" si="58"/>
        <v>0</v>
      </c>
      <c r="U57">
        <f t="shared" si="59"/>
        <v>181.67910449999999</v>
      </c>
      <c r="V57">
        <f t="shared" si="60"/>
        <v>0</v>
      </c>
      <c r="W57">
        <f t="shared" si="61"/>
        <v>0</v>
      </c>
      <c r="X57">
        <f t="shared" si="62"/>
        <v>37488.76</v>
      </c>
      <c r="Y57">
        <f t="shared" si="63"/>
        <v>18082.810000000001</v>
      </c>
      <c r="AA57">
        <v>44962055</v>
      </c>
      <c r="AB57">
        <f t="shared" si="64"/>
        <v>603.77200000000005</v>
      </c>
      <c r="AC57">
        <f t="shared" si="51"/>
        <v>0.98</v>
      </c>
      <c r="AD57">
        <f>ROUND(((ET57*1.25)),6)</f>
        <v>80.025000000000006</v>
      </c>
      <c r="AE57">
        <f>ROUND(((EU57*1.25)),6)</f>
        <v>18.912500000000001</v>
      </c>
      <c r="AF57">
        <f>ROUND(((EV57*1.15)),6)</f>
        <v>522.76700000000005</v>
      </c>
      <c r="AG57">
        <f t="shared" si="65"/>
        <v>0</v>
      </c>
      <c r="AH57">
        <f>((EW57*1.15))</f>
        <v>43.93</v>
      </c>
      <c r="AI57">
        <f>((EX57*1.25))</f>
        <v>0</v>
      </c>
      <c r="AJ57">
        <f t="shared" si="66"/>
        <v>0</v>
      </c>
      <c r="AK57">
        <v>519.58000000000004</v>
      </c>
      <c r="AL57">
        <v>0.98</v>
      </c>
      <c r="AM57">
        <v>64.02</v>
      </c>
      <c r="AN57">
        <v>15.13</v>
      </c>
      <c r="AO57">
        <v>454.58</v>
      </c>
      <c r="AP57">
        <v>0</v>
      </c>
      <c r="AQ57">
        <v>38.200000000000003</v>
      </c>
      <c r="AR57">
        <v>0</v>
      </c>
      <c r="AS57">
        <v>0</v>
      </c>
      <c r="AT57">
        <v>85</v>
      </c>
      <c r="AU57">
        <v>41</v>
      </c>
      <c r="AV57">
        <v>1.0469999999999999</v>
      </c>
      <c r="AW57">
        <v>1</v>
      </c>
      <c r="AZ57">
        <v>1</v>
      </c>
      <c r="BA57">
        <v>20.399999999999999</v>
      </c>
      <c r="BB57">
        <v>8.9499999999999993</v>
      </c>
      <c r="BC57">
        <v>5.23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1</v>
      </c>
      <c r="BJ57" t="s">
        <v>171</v>
      </c>
      <c r="BM57">
        <v>91</v>
      </c>
      <c r="BN57">
        <v>0</v>
      </c>
      <c r="BO57" t="s">
        <v>168</v>
      </c>
      <c r="BP57">
        <v>1</v>
      </c>
      <c r="BQ57">
        <v>30</v>
      </c>
      <c r="BR57">
        <v>0</v>
      </c>
      <c r="BS57">
        <v>20.399999999999999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85</v>
      </c>
      <c r="CA57">
        <v>41</v>
      </c>
      <c r="CE57">
        <v>0</v>
      </c>
      <c r="CF57">
        <v>0</v>
      </c>
      <c r="CG57">
        <v>0</v>
      </c>
      <c r="CM57">
        <v>0</v>
      </c>
      <c r="CN57" t="s">
        <v>16</v>
      </c>
      <c r="CO57">
        <v>0</v>
      </c>
      <c r="CP57">
        <f t="shared" si="67"/>
        <v>47086.720000000001</v>
      </c>
      <c r="CQ57">
        <f t="shared" si="68"/>
        <v>5.1254</v>
      </c>
      <c r="CR57">
        <f t="shared" si="69"/>
        <v>749.88626624999995</v>
      </c>
      <c r="CS57">
        <f t="shared" si="70"/>
        <v>403.94830499999995</v>
      </c>
      <c r="CT57">
        <f t="shared" si="71"/>
        <v>11165.6757996</v>
      </c>
      <c r="CU57">
        <f t="shared" si="72"/>
        <v>0</v>
      </c>
      <c r="CV57">
        <f t="shared" si="73"/>
        <v>45.994709999999998</v>
      </c>
      <c r="CW57">
        <f t="shared" si="74"/>
        <v>0</v>
      </c>
      <c r="CX57">
        <f t="shared" si="75"/>
        <v>0</v>
      </c>
      <c r="CY57">
        <f t="shared" si="76"/>
        <v>37488.756999999998</v>
      </c>
      <c r="CZ57">
        <f t="shared" si="77"/>
        <v>18082.812199999997</v>
      </c>
      <c r="DC57" t="s">
        <v>3</v>
      </c>
      <c r="DD57" t="s">
        <v>3</v>
      </c>
      <c r="DE57" t="s">
        <v>17</v>
      </c>
      <c r="DF57" t="s">
        <v>17</v>
      </c>
      <c r="DG57" t="s">
        <v>18</v>
      </c>
      <c r="DH57" t="s">
        <v>3</v>
      </c>
      <c r="DI57" t="s">
        <v>18</v>
      </c>
      <c r="DJ57" t="s">
        <v>17</v>
      </c>
      <c r="DK57" t="s">
        <v>3</v>
      </c>
      <c r="DL57" t="s">
        <v>3</v>
      </c>
      <c r="DM57" t="s">
        <v>3</v>
      </c>
      <c r="DN57">
        <v>104</v>
      </c>
      <c r="DO57">
        <v>70</v>
      </c>
      <c r="DP57">
        <v>1.0469999999999999</v>
      </c>
      <c r="DQ57">
        <v>1</v>
      </c>
      <c r="DU57">
        <v>1013</v>
      </c>
      <c r="DV57" t="s">
        <v>170</v>
      </c>
      <c r="DW57" t="s">
        <v>170</v>
      </c>
      <c r="DX57">
        <v>1</v>
      </c>
      <c r="EE57">
        <v>41867539</v>
      </c>
      <c r="EF57">
        <v>30</v>
      </c>
      <c r="EG57" t="s">
        <v>19</v>
      </c>
      <c r="EH57">
        <v>0</v>
      </c>
      <c r="EI57" t="s">
        <v>3</v>
      </c>
      <c r="EJ57">
        <v>1</v>
      </c>
      <c r="EK57">
        <v>91</v>
      </c>
      <c r="EL57" t="s">
        <v>172</v>
      </c>
      <c r="EM57" t="s">
        <v>173</v>
      </c>
      <c r="EO57" t="s">
        <v>22</v>
      </c>
      <c r="EQ57">
        <v>0</v>
      </c>
      <c r="ER57">
        <v>519.58000000000004</v>
      </c>
      <c r="ES57">
        <v>0.98</v>
      </c>
      <c r="ET57">
        <v>64.02</v>
      </c>
      <c r="EU57">
        <v>15.13</v>
      </c>
      <c r="EV57">
        <v>454.58</v>
      </c>
      <c r="EW57">
        <v>38.200000000000003</v>
      </c>
      <c r="EX57">
        <v>0</v>
      </c>
      <c r="EY57">
        <v>0</v>
      </c>
      <c r="FQ57">
        <v>0</v>
      </c>
      <c r="FR57">
        <f t="shared" si="78"/>
        <v>0</v>
      </c>
      <c r="FS57">
        <v>0</v>
      </c>
      <c r="FX57">
        <v>104</v>
      </c>
      <c r="FY57">
        <v>70</v>
      </c>
      <c r="GA57" t="s">
        <v>3</v>
      </c>
      <c r="GD57">
        <v>0</v>
      </c>
      <c r="GF57">
        <v>1958552630</v>
      </c>
      <c r="GG57">
        <v>2</v>
      </c>
      <c r="GH57">
        <v>1</v>
      </c>
      <c r="GI57">
        <v>2</v>
      </c>
      <c r="GJ57">
        <v>0</v>
      </c>
      <c r="GK57">
        <f>ROUND(R57*(R12)/100,2)</f>
        <v>2505.09</v>
      </c>
      <c r="GL57">
        <f t="shared" si="79"/>
        <v>0</v>
      </c>
      <c r="GM57">
        <f>ROUND(O57+X57+Y57+GK57,2)+GX57</f>
        <v>105163.38</v>
      </c>
      <c r="GN57">
        <f>IF(OR(BI57=0,BI57=1),ROUND(O57+X57+Y57+GK57,2),0)</f>
        <v>105163.38</v>
      </c>
      <c r="GO57">
        <f>IF(BI57=2,ROUND(O57+X57+Y57+GK57,2),0)</f>
        <v>0</v>
      </c>
      <c r="GP57">
        <f>IF(BI57=4,ROUND(O57+X57+Y57+GK57,2)+GX57,0)</f>
        <v>0</v>
      </c>
      <c r="GR57">
        <v>0</v>
      </c>
      <c r="GS57">
        <v>3</v>
      </c>
      <c r="GT57">
        <v>0</v>
      </c>
      <c r="GU57" t="s">
        <v>3</v>
      </c>
      <c r="GV57">
        <f t="shared" si="80"/>
        <v>0</v>
      </c>
      <c r="GW57">
        <v>1</v>
      </c>
      <c r="GX57">
        <f t="shared" si="81"/>
        <v>0</v>
      </c>
      <c r="HA57">
        <v>0</v>
      </c>
      <c r="HB57">
        <v>0</v>
      </c>
      <c r="HC57">
        <f t="shared" si="82"/>
        <v>0</v>
      </c>
      <c r="IK57">
        <v>0</v>
      </c>
    </row>
    <row r="58" spans="1:245" x14ac:dyDescent="0.2">
      <c r="A58">
        <v>18</v>
      </c>
      <c r="B58">
        <v>1</v>
      </c>
      <c r="C58">
        <v>85</v>
      </c>
      <c r="E58" t="s">
        <v>174</v>
      </c>
      <c r="F58" t="s">
        <v>175</v>
      </c>
      <c r="G58" t="s">
        <v>176</v>
      </c>
      <c r="H58" t="s">
        <v>77</v>
      </c>
      <c r="I58">
        <f>I57*J58</f>
        <v>0.18288499999999999</v>
      </c>
      <c r="J58">
        <v>4.6299999999999994E-2</v>
      </c>
      <c r="O58">
        <f t="shared" si="53"/>
        <v>10221.719999999999</v>
      </c>
      <c r="P58">
        <f t="shared" si="54"/>
        <v>10221.719999999999</v>
      </c>
      <c r="Q58">
        <f t="shared" si="55"/>
        <v>0</v>
      </c>
      <c r="R58">
        <f t="shared" si="56"/>
        <v>0</v>
      </c>
      <c r="S58">
        <f t="shared" si="57"/>
        <v>0</v>
      </c>
      <c r="T58">
        <f t="shared" si="58"/>
        <v>0</v>
      </c>
      <c r="U58">
        <f t="shared" si="59"/>
        <v>0</v>
      </c>
      <c r="V58">
        <f t="shared" si="60"/>
        <v>0</v>
      </c>
      <c r="W58">
        <f t="shared" si="61"/>
        <v>0</v>
      </c>
      <c r="X58">
        <f t="shared" si="62"/>
        <v>0</v>
      </c>
      <c r="Y58">
        <f t="shared" si="63"/>
        <v>0</v>
      </c>
      <c r="AA58">
        <v>44962055</v>
      </c>
      <c r="AB58">
        <f t="shared" si="64"/>
        <v>43326.77</v>
      </c>
      <c r="AC58">
        <f t="shared" si="51"/>
        <v>43326.77</v>
      </c>
      <c r="AD58">
        <f t="shared" ref="AD58:AF59" si="83">ROUND((ET58),6)</f>
        <v>0</v>
      </c>
      <c r="AE58">
        <f t="shared" si="83"/>
        <v>0</v>
      </c>
      <c r="AF58">
        <f t="shared" si="83"/>
        <v>0</v>
      </c>
      <c r="AG58">
        <f t="shared" si="65"/>
        <v>0</v>
      </c>
      <c r="AH58">
        <f>(EW58)</f>
        <v>0</v>
      </c>
      <c r="AI58">
        <f>(EX58)</f>
        <v>0</v>
      </c>
      <c r="AJ58">
        <f t="shared" si="66"/>
        <v>0</v>
      </c>
      <c r="AK58">
        <v>43326.77</v>
      </c>
      <c r="AL58">
        <v>43326.77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1</v>
      </c>
      <c r="AW58">
        <v>1</v>
      </c>
      <c r="AZ58">
        <v>1</v>
      </c>
      <c r="BA58">
        <v>1</v>
      </c>
      <c r="BB58">
        <v>1</v>
      </c>
      <c r="BC58">
        <v>1.29</v>
      </c>
      <c r="BD58" t="s">
        <v>3</v>
      </c>
      <c r="BE58" t="s">
        <v>3</v>
      </c>
      <c r="BF58" t="s">
        <v>3</v>
      </c>
      <c r="BG58" t="s">
        <v>3</v>
      </c>
      <c r="BH58">
        <v>3</v>
      </c>
      <c r="BI58">
        <v>1</v>
      </c>
      <c r="BJ58" t="s">
        <v>177</v>
      </c>
      <c r="BM58">
        <v>91</v>
      </c>
      <c r="BN58">
        <v>0</v>
      </c>
      <c r="BO58" t="s">
        <v>175</v>
      </c>
      <c r="BP58">
        <v>1</v>
      </c>
      <c r="BQ58">
        <v>30</v>
      </c>
      <c r="BR58">
        <v>0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Y58" t="s">
        <v>3</v>
      </c>
      <c r="BZ58">
        <v>0</v>
      </c>
      <c r="CA58">
        <v>0</v>
      </c>
      <c r="CE58">
        <v>0</v>
      </c>
      <c r="CF58">
        <v>0</v>
      </c>
      <c r="CG58">
        <v>0</v>
      </c>
      <c r="CM58">
        <v>0</v>
      </c>
      <c r="CN58" t="s">
        <v>3</v>
      </c>
      <c r="CO58">
        <v>0</v>
      </c>
      <c r="CP58">
        <f t="shared" si="67"/>
        <v>10221.719999999999</v>
      </c>
      <c r="CQ58">
        <f t="shared" si="68"/>
        <v>55891.533299999996</v>
      </c>
      <c r="CR58">
        <f t="shared" si="69"/>
        <v>0</v>
      </c>
      <c r="CS58">
        <f t="shared" si="70"/>
        <v>0</v>
      </c>
      <c r="CT58">
        <f t="shared" si="71"/>
        <v>0</v>
      </c>
      <c r="CU58">
        <f t="shared" si="72"/>
        <v>0</v>
      </c>
      <c r="CV58">
        <f t="shared" si="73"/>
        <v>0</v>
      </c>
      <c r="CW58">
        <f t="shared" si="74"/>
        <v>0</v>
      </c>
      <c r="CX58">
        <f t="shared" si="75"/>
        <v>0</v>
      </c>
      <c r="CY58">
        <f t="shared" si="76"/>
        <v>0</v>
      </c>
      <c r="CZ58">
        <f t="shared" si="77"/>
        <v>0</v>
      </c>
      <c r="DC58" t="s">
        <v>3</v>
      </c>
      <c r="DD58" t="s">
        <v>3</v>
      </c>
      <c r="DE58" t="s">
        <v>3</v>
      </c>
      <c r="DF58" t="s">
        <v>3</v>
      </c>
      <c r="DG58" t="s">
        <v>3</v>
      </c>
      <c r="DH58" t="s">
        <v>3</v>
      </c>
      <c r="DI58" t="s">
        <v>3</v>
      </c>
      <c r="DJ58" t="s">
        <v>3</v>
      </c>
      <c r="DK58" t="s">
        <v>3</v>
      </c>
      <c r="DL58" t="s">
        <v>3</v>
      </c>
      <c r="DM58" t="s">
        <v>3</v>
      </c>
      <c r="DN58">
        <v>104</v>
      </c>
      <c r="DO58">
        <v>70</v>
      </c>
      <c r="DP58">
        <v>1.0469999999999999</v>
      </c>
      <c r="DQ58">
        <v>1</v>
      </c>
      <c r="DU58">
        <v>1009</v>
      </c>
      <c r="DV58" t="s">
        <v>77</v>
      </c>
      <c r="DW58" t="s">
        <v>77</v>
      </c>
      <c r="DX58">
        <v>1000</v>
      </c>
      <c r="EE58">
        <v>41867539</v>
      </c>
      <c r="EF58">
        <v>30</v>
      </c>
      <c r="EG58" t="s">
        <v>19</v>
      </c>
      <c r="EH58">
        <v>0</v>
      </c>
      <c r="EI58" t="s">
        <v>3</v>
      </c>
      <c r="EJ58">
        <v>1</v>
      </c>
      <c r="EK58">
        <v>91</v>
      </c>
      <c r="EL58" t="s">
        <v>172</v>
      </c>
      <c r="EM58" t="s">
        <v>173</v>
      </c>
      <c r="EO58" t="s">
        <v>3</v>
      </c>
      <c r="EQ58">
        <v>0</v>
      </c>
      <c r="ER58">
        <v>43326.77</v>
      </c>
      <c r="ES58">
        <v>43326.77</v>
      </c>
      <c r="ET58">
        <v>0</v>
      </c>
      <c r="EU58">
        <v>0</v>
      </c>
      <c r="EV58">
        <v>0</v>
      </c>
      <c r="EW58">
        <v>0</v>
      </c>
      <c r="EX58">
        <v>0</v>
      </c>
      <c r="FQ58">
        <v>0</v>
      </c>
      <c r="FR58">
        <f t="shared" si="78"/>
        <v>0</v>
      </c>
      <c r="FS58">
        <v>0</v>
      </c>
      <c r="FX58">
        <v>104</v>
      </c>
      <c r="FY58">
        <v>70</v>
      </c>
      <c r="GA58" t="s">
        <v>3</v>
      </c>
      <c r="GD58">
        <v>1</v>
      </c>
      <c r="GF58">
        <v>2110379699</v>
      </c>
      <c r="GG58">
        <v>2</v>
      </c>
      <c r="GH58">
        <v>1</v>
      </c>
      <c r="GI58">
        <v>2</v>
      </c>
      <c r="GJ58">
        <v>0</v>
      </c>
      <c r="GK58">
        <v>0</v>
      </c>
      <c r="GL58">
        <f t="shared" si="79"/>
        <v>0</v>
      </c>
      <c r="GM58">
        <f>ROUND(O58+X58+Y58,2)+GX58</f>
        <v>10221.719999999999</v>
      </c>
      <c r="GN58">
        <f>IF(OR(BI58=0,BI58=1),ROUND(O58+X58+Y58,2),0)</f>
        <v>10221.719999999999</v>
      </c>
      <c r="GO58">
        <f>IF(BI58=2,ROUND(O58+X58+Y58,2),0)</f>
        <v>0</v>
      </c>
      <c r="GP58">
        <f>IF(BI58=4,ROUND(O58+X58+Y58,2)+GX58,0)</f>
        <v>0</v>
      </c>
      <c r="GR58">
        <v>0</v>
      </c>
      <c r="GS58">
        <v>3</v>
      </c>
      <c r="GT58">
        <v>0</v>
      </c>
      <c r="GU58" t="s">
        <v>3</v>
      </c>
      <c r="GV58">
        <f t="shared" si="80"/>
        <v>0</v>
      </c>
      <c r="GW58">
        <v>1</v>
      </c>
      <c r="GX58">
        <f t="shared" si="81"/>
        <v>0</v>
      </c>
      <c r="HA58">
        <v>0</v>
      </c>
      <c r="HB58">
        <v>0</v>
      </c>
      <c r="HC58">
        <f t="shared" si="82"/>
        <v>0</v>
      </c>
      <c r="IK58">
        <v>0</v>
      </c>
    </row>
    <row r="59" spans="1:245" x14ac:dyDescent="0.2">
      <c r="A59">
        <v>18</v>
      </c>
      <c r="B59">
        <v>1</v>
      </c>
      <c r="C59">
        <v>86</v>
      </c>
      <c r="E59" t="s">
        <v>178</v>
      </c>
      <c r="F59" t="s">
        <v>179</v>
      </c>
      <c r="G59" t="s">
        <v>180</v>
      </c>
      <c r="H59" t="s">
        <v>36</v>
      </c>
      <c r="I59">
        <f>I57*J59</f>
        <v>422.65</v>
      </c>
      <c r="J59">
        <v>106.99999999999999</v>
      </c>
      <c r="O59">
        <f t="shared" si="53"/>
        <v>79843.7</v>
      </c>
      <c r="P59">
        <f t="shared" si="54"/>
        <v>79843.7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44962055</v>
      </c>
      <c r="AB59">
        <f t="shared" si="64"/>
        <v>106.73</v>
      </c>
      <c r="AC59">
        <f t="shared" si="51"/>
        <v>106.73</v>
      </c>
      <c r="AD59">
        <f t="shared" si="83"/>
        <v>0</v>
      </c>
      <c r="AE59">
        <f t="shared" si="83"/>
        <v>0</v>
      </c>
      <c r="AF59">
        <f t="shared" si="83"/>
        <v>0</v>
      </c>
      <c r="AG59">
        <f t="shared" si="65"/>
        <v>0</v>
      </c>
      <c r="AH59">
        <f>(EW59)</f>
        <v>0</v>
      </c>
      <c r="AI59">
        <f>(EX59)</f>
        <v>0</v>
      </c>
      <c r="AJ59">
        <f t="shared" si="66"/>
        <v>0</v>
      </c>
      <c r="AK59">
        <v>106.73</v>
      </c>
      <c r="AL59">
        <v>106.73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1.77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181</v>
      </c>
      <c r="BM59">
        <v>91</v>
      </c>
      <c r="BN59">
        <v>0</v>
      </c>
      <c r="BO59" t="s">
        <v>179</v>
      </c>
      <c r="BP59">
        <v>1</v>
      </c>
      <c r="BQ59">
        <v>30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E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67"/>
        <v>79843.7</v>
      </c>
      <c r="CQ59">
        <f t="shared" si="68"/>
        <v>188.91210000000001</v>
      </c>
      <c r="CR59">
        <f t="shared" si="69"/>
        <v>0</v>
      </c>
      <c r="CS59">
        <f t="shared" si="70"/>
        <v>0</v>
      </c>
      <c r="CT59">
        <f t="shared" si="71"/>
        <v>0</v>
      </c>
      <c r="CU59">
        <f t="shared" si="72"/>
        <v>0</v>
      </c>
      <c r="CV59">
        <f t="shared" si="73"/>
        <v>0</v>
      </c>
      <c r="CW59">
        <f t="shared" si="74"/>
        <v>0</v>
      </c>
      <c r="CX59">
        <f t="shared" si="75"/>
        <v>0</v>
      </c>
      <c r="CY59">
        <f t="shared" si="76"/>
        <v>0</v>
      </c>
      <c r="CZ59">
        <f t="shared" si="77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104</v>
      </c>
      <c r="DO59">
        <v>70</v>
      </c>
      <c r="DP59">
        <v>1.0469999999999999</v>
      </c>
      <c r="DQ59">
        <v>1</v>
      </c>
      <c r="DU59">
        <v>1005</v>
      </c>
      <c r="DV59" t="s">
        <v>36</v>
      </c>
      <c r="DW59" t="s">
        <v>36</v>
      </c>
      <c r="DX59">
        <v>1</v>
      </c>
      <c r="EE59">
        <v>41867539</v>
      </c>
      <c r="EF59">
        <v>30</v>
      </c>
      <c r="EG59" t="s">
        <v>19</v>
      </c>
      <c r="EH59">
        <v>0</v>
      </c>
      <c r="EI59" t="s">
        <v>3</v>
      </c>
      <c r="EJ59">
        <v>1</v>
      </c>
      <c r="EK59">
        <v>91</v>
      </c>
      <c r="EL59" t="s">
        <v>172</v>
      </c>
      <c r="EM59" t="s">
        <v>173</v>
      </c>
      <c r="EO59" t="s">
        <v>3</v>
      </c>
      <c r="EQ59">
        <v>0</v>
      </c>
      <c r="ER59">
        <v>106.73</v>
      </c>
      <c r="ES59">
        <v>106.73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78"/>
        <v>0</v>
      </c>
      <c r="FS59">
        <v>0</v>
      </c>
      <c r="FX59">
        <v>104</v>
      </c>
      <c r="FY59">
        <v>70</v>
      </c>
      <c r="GA59" t="s">
        <v>3</v>
      </c>
      <c r="GD59">
        <v>1</v>
      </c>
      <c r="GF59">
        <v>703888809</v>
      </c>
      <c r="GG59">
        <v>2</v>
      </c>
      <c r="GH59">
        <v>1</v>
      </c>
      <c r="GI59">
        <v>2</v>
      </c>
      <c r="GJ59">
        <v>0</v>
      </c>
      <c r="GK59">
        <v>0</v>
      </c>
      <c r="GL59">
        <f t="shared" si="79"/>
        <v>0</v>
      </c>
      <c r="GM59">
        <f>ROUND(O59+X59+Y59,2)+GX59</f>
        <v>79843.7</v>
      </c>
      <c r="GN59">
        <f>IF(OR(BI59=0,BI59=1),ROUND(O59+X59+Y59,2),0)</f>
        <v>79843.7</v>
      </c>
      <c r="GO59">
        <f>IF(BI59=2,ROUND(O59+X59+Y59,2),0)</f>
        <v>0</v>
      </c>
      <c r="GP59">
        <f>IF(BI59=4,ROUND(O59+X59+Y59,2)+GX59,0)</f>
        <v>0</v>
      </c>
      <c r="GR59">
        <v>0</v>
      </c>
      <c r="GS59">
        <v>3</v>
      </c>
      <c r="GT59">
        <v>0</v>
      </c>
      <c r="GU59" t="s">
        <v>3</v>
      </c>
      <c r="GV59">
        <f t="shared" si="80"/>
        <v>0</v>
      </c>
      <c r="GW59">
        <v>1</v>
      </c>
      <c r="GX59">
        <f t="shared" si="81"/>
        <v>0</v>
      </c>
      <c r="HA59">
        <v>0</v>
      </c>
      <c r="HB59">
        <v>0</v>
      </c>
      <c r="HC59">
        <f t="shared" si="82"/>
        <v>0</v>
      </c>
      <c r="IK59">
        <v>0</v>
      </c>
    </row>
    <row r="60" spans="1:245" x14ac:dyDescent="0.2">
      <c r="A60">
        <v>17</v>
      </c>
      <c r="B60">
        <v>1</v>
      </c>
      <c r="C60">
        <f>ROW(SmtRes!A91)</f>
        <v>91</v>
      </c>
      <c r="D60">
        <f>ROW(EtalonRes!A88)</f>
        <v>88</v>
      </c>
      <c r="E60" t="s">
        <v>182</v>
      </c>
      <c r="F60" t="s">
        <v>183</v>
      </c>
      <c r="G60" t="s">
        <v>184</v>
      </c>
      <c r="H60" t="s">
        <v>185</v>
      </c>
      <c r="I60">
        <f>ROUND(298/100,9)</f>
        <v>2.98</v>
      </c>
      <c r="J60">
        <v>0</v>
      </c>
      <c r="O60">
        <f t="shared" si="53"/>
        <v>8552.58</v>
      </c>
      <c r="P60">
        <f t="shared" si="54"/>
        <v>0</v>
      </c>
      <c r="Q60">
        <f t="shared" si="55"/>
        <v>129.85</v>
      </c>
      <c r="R60">
        <f t="shared" si="56"/>
        <v>70.010000000000005</v>
      </c>
      <c r="S60">
        <f t="shared" si="57"/>
        <v>8422.73</v>
      </c>
      <c r="T60">
        <f t="shared" si="58"/>
        <v>0</v>
      </c>
      <c r="U60">
        <f t="shared" si="59"/>
        <v>32.256740309999998</v>
      </c>
      <c r="V60">
        <f t="shared" si="60"/>
        <v>0</v>
      </c>
      <c r="W60">
        <f t="shared" si="61"/>
        <v>0</v>
      </c>
      <c r="X60">
        <f t="shared" si="62"/>
        <v>7159.32</v>
      </c>
      <c r="Y60">
        <f t="shared" si="63"/>
        <v>3453.32</v>
      </c>
      <c r="AA60">
        <v>44962055</v>
      </c>
      <c r="AB60">
        <f t="shared" si="64"/>
        <v>136.98050000000001</v>
      </c>
      <c r="AC60">
        <f t="shared" si="51"/>
        <v>0</v>
      </c>
      <c r="AD60">
        <f>ROUND(((ET60*1.25)),6)</f>
        <v>4.6500000000000004</v>
      </c>
      <c r="AE60">
        <f>ROUND(((EU60*1.25)),6)</f>
        <v>1.1000000000000001</v>
      </c>
      <c r="AF60">
        <f>ROUND(((EV60*1.15)),6)</f>
        <v>132.3305</v>
      </c>
      <c r="AG60">
        <f t="shared" si="65"/>
        <v>0</v>
      </c>
      <c r="AH60">
        <f>((EW60*1.15))</f>
        <v>10.3385</v>
      </c>
      <c r="AI60">
        <f>((EX60*1.25))</f>
        <v>0</v>
      </c>
      <c r="AJ60">
        <f t="shared" si="66"/>
        <v>0</v>
      </c>
      <c r="AK60">
        <v>118.79</v>
      </c>
      <c r="AL60">
        <v>0</v>
      </c>
      <c r="AM60">
        <v>3.72</v>
      </c>
      <c r="AN60">
        <v>0.88</v>
      </c>
      <c r="AO60">
        <v>115.07</v>
      </c>
      <c r="AP60">
        <v>0</v>
      </c>
      <c r="AQ60">
        <v>8.99</v>
      </c>
      <c r="AR60">
        <v>0</v>
      </c>
      <c r="AS60">
        <v>0</v>
      </c>
      <c r="AT60">
        <v>85</v>
      </c>
      <c r="AU60">
        <v>41</v>
      </c>
      <c r="AV60">
        <v>1.0469999999999999</v>
      </c>
      <c r="AW60">
        <v>1</v>
      </c>
      <c r="AZ60">
        <v>1</v>
      </c>
      <c r="BA60">
        <v>20.399999999999999</v>
      </c>
      <c r="BB60">
        <v>8.9499999999999993</v>
      </c>
      <c r="BC60">
        <v>1</v>
      </c>
      <c r="BD60" t="s">
        <v>3</v>
      </c>
      <c r="BE60" t="s">
        <v>3</v>
      </c>
      <c r="BF60" t="s">
        <v>3</v>
      </c>
      <c r="BG60" t="s">
        <v>3</v>
      </c>
      <c r="BH60">
        <v>0</v>
      </c>
      <c r="BI60">
        <v>1</v>
      </c>
      <c r="BJ60" t="s">
        <v>186</v>
      </c>
      <c r="BM60">
        <v>91</v>
      </c>
      <c r="BN60">
        <v>0</v>
      </c>
      <c r="BO60" t="s">
        <v>183</v>
      </c>
      <c r="BP60">
        <v>1</v>
      </c>
      <c r="BQ60">
        <v>30</v>
      </c>
      <c r="BR60">
        <v>0</v>
      </c>
      <c r="BS60">
        <v>20.399999999999999</v>
      </c>
      <c r="BT60">
        <v>1</v>
      </c>
      <c r="BU60">
        <v>1</v>
      </c>
      <c r="BV60">
        <v>1</v>
      </c>
      <c r="BW60">
        <v>1</v>
      </c>
      <c r="BX60">
        <v>1</v>
      </c>
      <c r="BY60" t="s">
        <v>3</v>
      </c>
      <c r="BZ60">
        <v>85</v>
      </c>
      <c r="CA60">
        <v>41</v>
      </c>
      <c r="CE60">
        <v>0</v>
      </c>
      <c r="CF60">
        <v>0</v>
      </c>
      <c r="CG60">
        <v>0</v>
      </c>
      <c r="CM60">
        <v>0</v>
      </c>
      <c r="CN60" t="s">
        <v>16</v>
      </c>
      <c r="CO60">
        <v>0</v>
      </c>
      <c r="CP60">
        <f t="shared" si="67"/>
        <v>8552.58</v>
      </c>
      <c r="CQ60">
        <f t="shared" si="68"/>
        <v>0</v>
      </c>
      <c r="CR60">
        <f t="shared" si="69"/>
        <v>43.573522499999996</v>
      </c>
      <c r="CS60">
        <f t="shared" si="70"/>
        <v>23.494679999999999</v>
      </c>
      <c r="CT60">
        <f t="shared" si="71"/>
        <v>2826.4206833999997</v>
      </c>
      <c r="CU60">
        <f t="shared" si="72"/>
        <v>0</v>
      </c>
      <c r="CV60">
        <f t="shared" si="73"/>
        <v>10.8244095</v>
      </c>
      <c r="CW60">
        <f t="shared" si="74"/>
        <v>0</v>
      </c>
      <c r="CX60">
        <f t="shared" si="75"/>
        <v>0</v>
      </c>
      <c r="CY60">
        <f t="shared" si="76"/>
        <v>7159.3204999999998</v>
      </c>
      <c r="CZ60">
        <f t="shared" si="77"/>
        <v>3453.3192999999997</v>
      </c>
      <c r="DC60" t="s">
        <v>3</v>
      </c>
      <c r="DD60" t="s">
        <v>3</v>
      </c>
      <c r="DE60" t="s">
        <v>17</v>
      </c>
      <c r="DF60" t="s">
        <v>17</v>
      </c>
      <c r="DG60" t="s">
        <v>18</v>
      </c>
      <c r="DH60" t="s">
        <v>3</v>
      </c>
      <c r="DI60" t="s">
        <v>18</v>
      </c>
      <c r="DJ60" t="s">
        <v>17</v>
      </c>
      <c r="DK60" t="s">
        <v>3</v>
      </c>
      <c r="DL60" t="s">
        <v>3</v>
      </c>
      <c r="DM60" t="s">
        <v>3</v>
      </c>
      <c r="DN60">
        <v>104</v>
      </c>
      <c r="DO60">
        <v>70</v>
      </c>
      <c r="DP60">
        <v>1.0469999999999999</v>
      </c>
      <c r="DQ60">
        <v>1</v>
      </c>
      <c r="DU60">
        <v>1013</v>
      </c>
      <c r="DV60" t="s">
        <v>185</v>
      </c>
      <c r="DW60" t="s">
        <v>185</v>
      </c>
      <c r="DX60">
        <v>1</v>
      </c>
      <c r="EE60">
        <v>41867539</v>
      </c>
      <c r="EF60">
        <v>30</v>
      </c>
      <c r="EG60" t="s">
        <v>19</v>
      </c>
      <c r="EH60">
        <v>0</v>
      </c>
      <c r="EI60" t="s">
        <v>3</v>
      </c>
      <c r="EJ60">
        <v>1</v>
      </c>
      <c r="EK60">
        <v>91</v>
      </c>
      <c r="EL60" t="s">
        <v>172</v>
      </c>
      <c r="EM60" t="s">
        <v>173</v>
      </c>
      <c r="EO60" t="s">
        <v>22</v>
      </c>
      <c r="EQ60">
        <v>0</v>
      </c>
      <c r="ER60">
        <v>118.79</v>
      </c>
      <c r="ES60">
        <v>0</v>
      </c>
      <c r="ET60">
        <v>3.72</v>
      </c>
      <c r="EU60">
        <v>0.88</v>
      </c>
      <c r="EV60">
        <v>115.07</v>
      </c>
      <c r="EW60">
        <v>8.99</v>
      </c>
      <c r="EX60">
        <v>0</v>
      </c>
      <c r="EY60">
        <v>0</v>
      </c>
      <c r="FQ60">
        <v>0</v>
      </c>
      <c r="FR60">
        <f t="shared" si="78"/>
        <v>0</v>
      </c>
      <c r="FS60">
        <v>0</v>
      </c>
      <c r="FX60">
        <v>104</v>
      </c>
      <c r="FY60">
        <v>70</v>
      </c>
      <c r="GA60" t="s">
        <v>3</v>
      </c>
      <c r="GD60">
        <v>0</v>
      </c>
      <c r="GF60">
        <v>1406302192</v>
      </c>
      <c r="GG60">
        <v>2</v>
      </c>
      <c r="GH60">
        <v>1</v>
      </c>
      <c r="GI60">
        <v>2</v>
      </c>
      <c r="GJ60">
        <v>0</v>
      </c>
      <c r="GK60">
        <f>ROUND(R60*(R12)/100,2)</f>
        <v>109.92</v>
      </c>
      <c r="GL60">
        <f t="shared" si="79"/>
        <v>0</v>
      </c>
      <c r="GM60">
        <f>ROUND(O60+X60+Y60+GK60,2)+GX60</f>
        <v>19275.14</v>
      </c>
      <c r="GN60">
        <f>IF(OR(BI60=0,BI60=1),ROUND(O60+X60+Y60+GK60,2),0)</f>
        <v>19275.14</v>
      </c>
      <c r="GO60">
        <f>IF(BI60=2,ROUND(O60+X60+Y60+GK60,2),0)</f>
        <v>0</v>
      </c>
      <c r="GP60">
        <f>IF(BI60=4,ROUND(O60+X60+Y60+GK60,2)+GX60,0)</f>
        <v>0</v>
      </c>
      <c r="GR60">
        <v>0</v>
      </c>
      <c r="GS60">
        <v>3</v>
      </c>
      <c r="GT60">
        <v>0</v>
      </c>
      <c r="GU60" t="s">
        <v>3</v>
      </c>
      <c r="GV60">
        <f t="shared" si="80"/>
        <v>0</v>
      </c>
      <c r="GW60">
        <v>1</v>
      </c>
      <c r="GX60">
        <f t="shared" si="81"/>
        <v>0</v>
      </c>
      <c r="HA60">
        <v>0</v>
      </c>
      <c r="HB60">
        <v>0</v>
      </c>
      <c r="HC60">
        <f t="shared" si="82"/>
        <v>0</v>
      </c>
      <c r="IK60">
        <v>0</v>
      </c>
    </row>
    <row r="61" spans="1:245" x14ac:dyDescent="0.2">
      <c r="A61">
        <v>18</v>
      </c>
      <c r="B61">
        <v>1</v>
      </c>
      <c r="C61">
        <v>91</v>
      </c>
      <c r="E61" t="s">
        <v>187</v>
      </c>
      <c r="F61" t="s">
        <v>188</v>
      </c>
      <c r="G61" t="s">
        <v>189</v>
      </c>
      <c r="H61" t="s">
        <v>77</v>
      </c>
      <c r="I61">
        <f>I60*J61</f>
        <v>1.5347E-2</v>
      </c>
      <c r="J61">
        <v>5.1500000000000001E-3</v>
      </c>
      <c r="O61">
        <f t="shared" si="53"/>
        <v>525.4</v>
      </c>
      <c r="P61">
        <f t="shared" si="54"/>
        <v>525.4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44962055</v>
      </c>
      <c r="AB61">
        <f t="shared" si="64"/>
        <v>11373.59</v>
      </c>
      <c r="AC61">
        <f t="shared" si="51"/>
        <v>11373.59</v>
      </c>
      <c r="AD61">
        <f t="shared" ref="AD61:AF62" si="84">ROUND((ET61),6)</f>
        <v>0</v>
      </c>
      <c r="AE61">
        <f t="shared" si="84"/>
        <v>0</v>
      </c>
      <c r="AF61">
        <f t="shared" si="84"/>
        <v>0</v>
      </c>
      <c r="AG61">
        <f t="shared" si="65"/>
        <v>0</v>
      </c>
      <c r="AH61">
        <f>(EW61)</f>
        <v>0</v>
      </c>
      <c r="AI61">
        <f>(EX61)</f>
        <v>0</v>
      </c>
      <c r="AJ61">
        <f t="shared" si="66"/>
        <v>0</v>
      </c>
      <c r="AK61">
        <v>11373.59</v>
      </c>
      <c r="AL61">
        <v>11373.59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3.01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190</v>
      </c>
      <c r="BM61">
        <v>91</v>
      </c>
      <c r="BN61">
        <v>0</v>
      </c>
      <c r="BO61" t="s">
        <v>188</v>
      </c>
      <c r="BP61">
        <v>1</v>
      </c>
      <c r="BQ61">
        <v>30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E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67"/>
        <v>525.4</v>
      </c>
      <c r="CQ61">
        <f t="shared" si="68"/>
        <v>34234.505899999996</v>
      </c>
      <c r="CR61">
        <f t="shared" si="69"/>
        <v>0</v>
      </c>
      <c r="CS61">
        <f t="shared" si="70"/>
        <v>0</v>
      </c>
      <c r="CT61">
        <f t="shared" si="71"/>
        <v>0</v>
      </c>
      <c r="CU61">
        <f t="shared" si="72"/>
        <v>0</v>
      </c>
      <c r="CV61">
        <f t="shared" si="73"/>
        <v>0</v>
      </c>
      <c r="CW61">
        <f t="shared" si="74"/>
        <v>0</v>
      </c>
      <c r="CX61">
        <f t="shared" si="75"/>
        <v>0</v>
      </c>
      <c r="CY61">
        <f t="shared" si="76"/>
        <v>0</v>
      </c>
      <c r="CZ61">
        <f t="shared" si="77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104</v>
      </c>
      <c r="DO61">
        <v>70</v>
      </c>
      <c r="DP61">
        <v>1.0469999999999999</v>
      </c>
      <c r="DQ61">
        <v>1</v>
      </c>
      <c r="DU61">
        <v>1009</v>
      </c>
      <c r="DV61" t="s">
        <v>77</v>
      </c>
      <c r="DW61" t="s">
        <v>77</v>
      </c>
      <c r="DX61">
        <v>1000</v>
      </c>
      <c r="EE61">
        <v>41867539</v>
      </c>
      <c r="EF61">
        <v>30</v>
      </c>
      <c r="EG61" t="s">
        <v>19</v>
      </c>
      <c r="EH61">
        <v>0</v>
      </c>
      <c r="EI61" t="s">
        <v>3</v>
      </c>
      <c r="EJ61">
        <v>1</v>
      </c>
      <c r="EK61">
        <v>91</v>
      </c>
      <c r="EL61" t="s">
        <v>172</v>
      </c>
      <c r="EM61" t="s">
        <v>173</v>
      </c>
      <c r="EO61" t="s">
        <v>3</v>
      </c>
      <c r="EQ61">
        <v>0</v>
      </c>
      <c r="ER61">
        <v>11373.59</v>
      </c>
      <c r="ES61">
        <v>11373.59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78"/>
        <v>0</v>
      </c>
      <c r="FS61">
        <v>0</v>
      </c>
      <c r="FX61">
        <v>104</v>
      </c>
      <c r="FY61">
        <v>70</v>
      </c>
      <c r="GA61" t="s">
        <v>3</v>
      </c>
      <c r="GD61">
        <v>1</v>
      </c>
      <c r="GF61">
        <v>-1773934739</v>
      </c>
      <c r="GG61">
        <v>2</v>
      </c>
      <c r="GH61">
        <v>1</v>
      </c>
      <c r="GI61">
        <v>2</v>
      </c>
      <c r="GJ61">
        <v>0</v>
      </c>
      <c r="GK61">
        <v>0</v>
      </c>
      <c r="GL61">
        <f t="shared" si="79"/>
        <v>0</v>
      </c>
      <c r="GM61">
        <f>ROUND(O61+X61+Y61,2)+GX61</f>
        <v>525.4</v>
      </c>
      <c r="GN61">
        <f>IF(OR(BI61=0,BI61=1),ROUND(O61+X61+Y61,2),0)</f>
        <v>525.4</v>
      </c>
      <c r="GO61">
        <f>IF(BI61=2,ROUND(O61+X61+Y61,2),0)</f>
        <v>0</v>
      </c>
      <c r="GP61">
        <f>IF(BI61=4,ROUND(O61+X61+Y61,2)+GX61,0)</f>
        <v>0</v>
      </c>
      <c r="GR61">
        <v>0</v>
      </c>
      <c r="GS61">
        <v>3</v>
      </c>
      <c r="GT61">
        <v>0</v>
      </c>
      <c r="GU61" t="s">
        <v>3</v>
      </c>
      <c r="GV61">
        <f t="shared" si="80"/>
        <v>0</v>
      </c>
      <c r="GW61">
        <v>1</v>
      </c>
      <c r="GX61">
        <f t="shared" si="81"/>
        <v>0</v>
      </c>
      <c r="HA61">
        <v>0</v>
      </c>
      <c r="HB61">
        <v>0</v>
      </c>
      <c r="HC61">
        <f t="shared" si="82"/>
        <v>0</v>
      </c>
      <c r="IK61">
        <v>0</v>
      </c>
    </row>
    <row r="62" spans="1:245" x14ac:dyDescent="0.2">
      <c r="A62">
        <v>18</v>
      </c>
      <c r="B62">
        <v>1</v>
      </c>
      <c r="C62">
        <v>90</v>
      </c>
      <c r="E62" t="s">
        <v>191</v>
      </c>
      <c r="F62" t="s">
        <v>192</v>
      </c>
      <c r="G62" t="s">
        <v>193</v>
      </c>
      <c r="H62" t="s">
        <v>26</v>
      </c>
      <c r="I62">
        <f>I60*J62</f>
        <v>298</v>
      </c>
      <c r="J62">
        <v>100</v>
      </c>
      <c r="O62">
        <f t="shared" si="53"/>
        <v>10443.23</v>
      </c>
      <c r="P62">
        <f t="shared" si="54"/>
        <v>10443.23</v>
      </c>
      <c r="Q62">
        <f t="shared" si="55"/>
        <v>0</v>
      </c>
      <c r="R62">
        <f t="shared" si="56"/>
        <v>0</v>
      </c>
      <c r="S62">
        <f t="shared" si="57"/>
        <v>0</v>
      </c>
      <c r="T62">
        <f t="shared" si="58"/>
        <v>0</v>
      </c>
      <c r="U62">
        <f t="shared" si="59"/>
        <v>0</v>
      </c>
      <c r="V62">
        <f t="shared" si="60"/>
        <v>0</v>
      </c>
      <c r="W62">
        <f t="shared" si="61"/>
        <v>0</v>
      </c>
      <c r="X62">
        <f t="shared" si="62"/>
        <v>0</v>
      </c>
      <c r="Y62">
        <f t="shared" si="63"/>
        <v>0</v>
      </c>
      <c r="AA62">
        <v>44962055</v>
      </c>
      <c r="AB62">
        <f t="shared" si="64"/>
        <v>22.18</v>
      </c>
      <c r="AC62">
        <f t="shared" si="51"/>
        <v>22.18</v>
      </c>
      <c r="AD62">
        <f t="shared" si="84"/>
        <v>0</v>
      </c>
      <c r="AE62">
        <f t="shared" si="84"/>
        <v>0</v>
      </c>
      <c r="AF62">
        <f t="shared" si="84"/>
        <v>0</v>
      </c>
      <c r="AG62">
        <f t="shared" si="65"/>
        <v>0</v>
      </c>
      <c r="AH62">
        <f>(EW62)</f>
        <v>0</v>
      </c>
      <c r="AI62">
        <f>(EX62)</f>
        <v>0</v>
      </c>
      <c r="AJ62">
        <f t="shared" si="66"/>
        <v>0</v>
      </c>
      <c r="AK62">
        <v>22.18</v>
      </c>
      <c r="AL62">
        <v>22.18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1</v>
      </c>
      <c r="AW62">
        <v>1</v>
      </c>
      <c r="AZ62">
        <v>1</v>
      </c>
      <c r="BA62">
        <v>1</v>
      </c>
      <c r="BB62">
        <v>1</v>
      </c>
      <c r="BC62">
        <v>1.58</v>
      </c>
      <c r="BD62" t="s">
        <v>3</v>
      </c>
      <c r="BE62" t="s">
        <v>3</v>
      </c>
      <c r="BF62" t="s">
        <v>3</v>
      </c>
      <c r="BG62" t="s">
        <v>3</v>
      </c>
      <c r="BH62">
        <v>3</v>
      </c>
      <c r="BI62">
        <v>1</v>
      </c>
      <c r="BJ62" t="s">
        <v>194</v>
      </c>
      <c r="BM62">
        <v>91</v>
      </c>
      <c r="BN62">
        <v>0</v>
      </c>
      <c r="BO62" t="s">
        <v>192</v>
      </c>
      <c r="BP62">
        <v>1</v>
      </c>
      <c r="BQ62">
        <v>30</v>
      </c>
      <c r="BR62">
        <v>0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 t="s">
        <v>3</v>
      </c>
      <c r="BZ62">
        <v>0</v>
      </c>
      <c r="CA62">
        <v>0</v>
      </c>
      <c r="CE62">
        <v>0</v>
      </c>
      <c r="CF62">
        <v>0</v>
      </c>
      <c r="CG62">
        <v>0</v>
      </c>
      <c r="CM62">
        <v>0</v>
      </c>
      <c r="CN62" t="s">
        <v>3</v>
      </c>
      <c r="CO62">
        <v>0</v>
      </c>
      <c r="CP62">
        <f t="shared" si="67"/>
        <v>10443.23</v>
      </c>
      <c r="CQ62">
        <f t="shared" si="68"/>
        <v>35.044400000000003</v>
      </c>
      <c r="CR62">
        <f t="shared" si="69"/>
        <v>0</v>
      </c>
      <c r="CS62">
        <f t="shared" si="70"/>
        <v>0</v>
      </c>
      <c r="CT62">
        <f t="shared" si="71"/>
        <v>0</v>
      </c>
      <c r="CU62">
        <f t="shared" si="72"/>
        <v>0</v>
      </c>
      <c r="CV62">
        <f t="shared" si="73"/>
        <v>0</v>
      </c>
      <c r="CW62">
        <f t="shared" si="74"/>
        <v>0</v>
      </c>
      <c r="CX62">
        <f t="shared" si="75"/>
        <v>0</v>
      </c>
      <c r="CY62">
        <f t="shared" si="76"/>
        <v>0</v>
      </c>
      <c r="CZ62">
        <f t="shared" si="77"/>
        <v>0</v>
      </c>
      <c r="DC62" t="s">
        <v>3</v>
      </c>
      <c r="DD62" t="s">
        <v>3</v>
      </c>
      <c r="DE62" t="s">
        <v>3</v>
      </c>
      <c r="DF62" t="s">
        <v>3</v>
      </c>
      <c r="DG62" t="s">
        <v>3</v>
      </c>
      <c r="DH62" t="s">
        <v>3</v>
      </c>
      <c r="DI62" t="s">
        <v>3</v>
      </c>
      <c r="DJ62" t="s">
        <v>3</v>
      </c>
      <c r="DK62" t="s">
        <v>3</v>
      </c>
      <c r="DL62" t="s">
        <v>3</v>
      </c>
      <c r="DM62" t="s">
        <v>3</v>
      </c>
      <c r="DN62">
        <v>104</v>
      </c>
      <c r="DO62">
        <v>70</v>
      </c>
      <c r="DP62">
        <v>1.0469999999999999</v>
      </c>
      <c r="DQ62">
        <v>1</v>
      </c>
      <c r="DU62">
        <v>1003</v>
      </c>
      <c r="DV62" t="s">
        <v>26</v>
      </c>
      <c r="DW62" t="s">
        <v>26</v>
      </c>
      <c r="DX62">
        <v>1</v>
      </c>
      <c r="EE62">
        <v>41867539</v>
      </c>
      <c r="EF62">
        <v>30</v>
      </c>
      <c r="EG62" t="s">
        <v>19</v>
      </c>
      <c r="EH62">
        <v>0</v>
      </c>
      <c r="EI62" t="s">
        <v>3</v>
      </c>
      <c r="EJ62">
        <v>1</v>
      </c>
      <c r="EK62">
        <v>91</v>
      </c>
      <c r="EL62" t="s">
        <v>172</v>
      </c>
      <c r="EM62" t="s">
        <v>173</v>
      </c>
      <c r="EO62" t="s">
        <v>3</v>
      </c>
      <c r="EQ62">
        <v>0</v>
      </c>
      <c r="ER62">
        <v>22.18</v>
      </c>
      <c r="ES62">
        <v>22.18</v>
      </c>
      <c r="ET62">
        <v>0</v>
      </c>
      <c r="EU62">
        <v>0</v>
      </c>
      <c r="EV62">
        <v>0</v>
      </c>
      <c r="EW62">
        <v>0</v>
      </c>
      <c r="EX62">
        <v>0</v>
      </c>
      <c r="FQ62">
        <v>0</v>
      </c>
      <c r="FR62">
        <f t="shared" si="78"/>
        <v>0</v>
      </c>
      <c r="FS62">
        <v>0</v>
      </c>
      <c r="FX62">
        <v>104</v>
      </c>
      <c r="FY62">
        <v>70</v>
      </c>
      <c r="GA62" t="s">
        <v>3</v>
      </c>
      <c r="GD62">
        <v>1</v>
      </c>
      <c r="GF62">
        <v>1762455265</v>
      </c>
      <c r="GG62">
        <v>2</v>
      </c>
      <c r="GH62">
        <v>1</v>
      </c>
      <c r="GI62">
        <v>2</v>
      </c>
      <c r="GJ62">
        <v>0</v>
      </c>
      <c r="GK62">
        <v>0</v>
      </c>
      <c r="GL62">
        <f t="shared" si="79"/>
        <v>0</v>
      </c>
      <c r="GM62">
        <f>ROUND(O62+X62+Y62,2)+GX62</f>
        <v>10443.23</v>
      </c>
      <c r="GN62">
        <f>IF(OR(BI62=0,BI62=1),ROUND(O62+X62+Y62,2),0)</f>
        <v>10443.23</v>
      </c>
      <c r="GO62">
        <f>IF(BI62=2,ROUND(O62+X62+Y62,2),0)</f>
        <v>0</v>
      </c>
      <c r="GP62">
        <f>IF(BI62=4,ROUND(O62+X62+Y62,2)+GX62,0)</f>
        <v>0</v>
      </c>
      <c r="GR62">
        <v>0</v>
      </c>
      <c r="GS62">
        <v>3</v>
      </c>
      <c r="GT62">
        <v>0</v>
      </c>
      <c r="GU62" t="s">
        <v>3</v>
      </c>
      <c r="GV62">
        <f t="shared" si="80"/>
        <v>0</v>
      </c>
      <c r="GW62">
        <v>1</v>
      </c>
      <c r="GX62">
        <f t="shared" si="81"/>
        <v>0</v>
      </c>
      <c r="HA62">
        <v>0</v>
      </c>
      <c r="HB62">
        <v>0</v>
      </c>
      <c r="HC62">
        <f t="shared" si="82"/>
        <v>0</v>
      </c>
      <c r="IK62">
        <v>0</v>
      </c>
    </row>
    <row r="63" spans="1:245" x14ac:dyDescent="0.2">
      <c r="A63">
        <v>17</v>
      </c>
      <c r="B63">
        <v>1</v>
      </c>
      <c r="C63">
        <f>ROW(SmtRes!A95)</f>
        <v>95</v>
      </c>
      <c r="D63">
        <f>ROW(EtalonRes!A92)</f>
        <v>92</v>
      </c>
      <c r="E63" t="s">
        <v>195</v>
      </c>
      <c r="F63" t="s">
        <v>58</v>
      </c>
      <c r="G63" t="s">
        <v>196</v>
      </c>
      <c r="H63" t="s">
        <v>14</v>
      </c>
      <c r="I63">
        <f>ROUND(40/100,9)</f>
        <v>0.4</v>
      </c>
      <c r="J63">
        <v>0</v>
      </c>
      <c r="O63">
        <f t="shared" si="53"/>
        <v>503.25</v>
      </c>
      <c r="P63">
        <f t="shared" si="54"/>
        <v>0</v>
      </c>
      <c r="Q63">
        <f t="shared" si="55"/>
        <v>3.28</v>
      </c>
      <c r="R63">
        <f t="shared" si="56"/>
        <v>1.46</v>
      </c>
      <c r="S63">
        <f t="shared" si="57"/>
        <v>499.97</v>
      </c>
      <c r="T63">
        <f t="shared" si="58"/>
        <v>0</v>
      </c>
      <c r="U63">
        <f t="shared" si="59"/>
        <v>2.192475</v>
      </c>
      <c r="V63">
        <f t="shared" si="60"/>
        <v>0</v>
      </c>
      <c r="W63">
        <f t="shared" si="61"/>
        <v>0</v>
      </c>
      <c r="X63">
        <f t="shared" si="62"/>
        <v>404.98</v>
      </c>
      <c r="Y63">
        <f t="shared" si="63"/>
        <v>204.99</v>
      </c>
      <c r="AA63">
        <v>44962055</v>
      </c>
      <c r="AB63">
        <f t="shared" si="64"/>
        <v>60.802</v>
      </c>
      <c r="AC63">
        <f t="shared" si="51"/>
        <v>0</v>
      </c>
      <c r="AD63">
        <f>ROUND(((ET63*1.25)),6)</f>
        <v>1.0249999999999999</v>
      </c>
      <c r="AE63">
        <f>ROUND(((EU63*1.25)),6)</f>
        <v>0.17499999999999999</v>
      </c>
      <c r="AF63">
        <f>ROUND(((EV63*1.15)),6)</f>
        <v>59.777000000000001</v>
      </c>
      <c r="AG63">
        <f t="shared" si="65"/>
        <v>0</v>
      </c>
      <c r="AH63">
        <f>((EW63*1.15))</f>
        <v>5.3475000000000001</v>
      </c>
      <c r="AI63">
        <f>((EX63*1.25))</f>
        <v>0</v>
      </c>
      <c r="AJ63">
        <f t="shared" si="66"/>
        <v>0</v>
      </c>
      <c r="AK63">
        <v>52.8</v>
      </c>
      <c r="AL63">
        <v>0</v>
      </c>
      <c r="AM63">
        <v>0.82</v>
      </c>
      <c r="AN63">
        <v>0.14000000000000001</v>
      </c>
      <c r="AO63">
        <v>51.98</v>
      </c>
      <c r="AP63">
        <v>0</v>
      </c>
      <c r="AQ63">
        <v>4.6500000000000004</v>
      </c>
      <c r="AR63">
        <v>0</v>
      </c>
      <c r="AS63">
        <v>0</v>
      </c>
      <c r="AT63">
        <v>81</v>
      </c>
      <c r="AU63">
        <v>41</v>
      </c>
      <c r="AV63">
        <v>1.0249999999999999</v>
      </c>
      <c r="AW63">
        <v>1</v>
      </c>
      <c r="AZ63">
        <v>1</v>
      </c>
      <c r="BA63">
        <v>20.399999999999999</v>
      </c>
      <c r="BB63">
        <v>7.8</v>
      </c>
      <c r="BC63">
        <v>1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1</v>
      </c>
      <c r="BJ63" t="s">
        <v>60</v>
      </c>
      <c r="BM63">
        <v>1523</v>
      </c>
      <c r="BN63">
        <v>0</v>
      </c>
      <c r="BO63" t="s">
        <v>58</v>
      </c>
      <c r="BP63">
        <v>1</v>
      </c>
      <c r="BQ63">
        <v>30</v>
      </c>
      <c r="BR63">
        <v>0</v>
      </c>
      <c r="BS63">
        <v>20.399999999999999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81</v>
      </c>
      <c r="CA63">
        <v>41</v>
      </c>
      <c r="CE63">
        <v>0</v>
      </c>
      <c r="CF63">
        <v>0</v>
      </c>
      <c r="CG63">
        <v>0</v>
      </c>
      <c r="CM63">
        <v>0</v>
      </c>
      <c r="CN63" t="s">
        <v>16</v>
      </c>
      <c r="CO63">
        <v>0</v>
      </c>
      <c r="CP63">
        <f t="shared" si="67"/>
        <v>503.25</v>
      </c>
      <c r="CQ63">
        <f t="shared" si="68"/>
        <v>0</v>
      </c>
      <c r="CR63">
        <f t="shared" si="69"/>
        <v>8.1948749999999979</v>
      </c>
      <c r="CS63">
        <f t="shared" si="70"/>
        <v>3.6592499999999992</v>
      </c>
      <c r="CT63">
        <f t="shared" si="71"/>
        <v>1249.9370699999997</v>
      </c>
      <c r="CU63">
        <f t="shared" si="72"/>
        <v>0</v>
      </c>
      <c r="CV63">
        <f t="shared" si="73"/>
        <v>5.4811874999999999</v>
      </c>
      <c r="CW63">
        <f t="shared" si="74"/>
        <v>0</v>
      </c>
      <c r="CX63">
        <f t="shared" si="75"/>
        <v>0</v>
      </c>
      <c r="CY63">
        <f t="shared" si="76"/>
        <v>404.97570000000007</v>
      </c>
      <c r="CZ63">
        <f t="shared" si="77"/>
        <v>204.98769999999999</v>
      </c>
      <c r="DC63" t="s">
        <v>3</v>
      </c>
      <c r="DD63" t="s">
        <v>3</v>
      </c>
      <c r="DE63" t="s">
        <v>17</v>
      </c>
      <c r="DF63" t="s">
        <v>17</v>
      </c>
      <c r="DG63" t="s">
        <v>18</v>
      </c>
      <c r="DH63" t="s">
        <v>3</v>
      </c>
      <c r="DI63" t="s">
        <v>18</v>
      </c>
      <c r="DJ63" t="s">
        <v>17</v>
      </c>
      <c r="DK63" t="s">
        <v>3</v>
      </c>
      <c r="DL63" t="s">
        <v>3</v>
      </c>
      <c r="DM63" t="s">
        <v>3</v>
      </c>
      <c r="DN63">
        <v>100</v>
      </c>
      <c r="DO63">
        <v>64</v>
      </c>
      <c r="DP63">
        <v>1.0249999999999999</v>
      </c>
      <c r="DQ63">
        <v>1</v>
      </c>
      <c r="DU63">
        <v>1005</v>
      </c>
      <c r="DV63" t="s">
        <v>14</v>
      </c>
      <c r="DW63" t="s">
        <v>14</v>
      </c>
      <c r="DX63">
        <v>100</v>
      </c>
      <c r="EE63">
        <v>41868971</v>
      </c>
      <c r="EF63">
        <v>30</v>
      </c>
      <c r="EG63" t="s">
        <v>19</v>
      </c>
      <c r="EH63">
        <v>0</v>
      </c>
      <c r="EI63" t="s">
        <v>3</v>
      </c>
      <c r="EJ63">
        <v>1</v>
      </c>
      <c r="EK63">
        <v>1523</v>
      </c>
      <c r="EL63" t="s">
        <v>61</v>
      </c>
      <c r="EM63" t="s">
        <v>62</v>
      </c>
      <c r="EO63" t="s">
        <v>22</v>
      </c>
      <c r="EQ63">
        <v>0</v>
      </c>
      <c r="ER63">
        <v>52.8</v>
      </c>
      <c r="ES63">
        <v>0</v>
      </c>
      <c r="ET63">
        <v>0.82</v>
      </c>
      <c r="EU63">
        <v>0.14000000000000001</v>
      </c>
      <c r="EV63">
        <v>51.98</v>
      </c>
      <c r="EW63">
        <v>4.6500000000000004</v>
      </c>
      <c r="EX63">
        <v>0</v>
      </c>
      <c r="EY63">
        <v>0</v>
      </c>
      <c r="FQ63">
        <v>0</v>
      </c>
      <c r="FR63">
        <f t="shared" si="78"/>
        <v>0</v>
      </c>
      <c r="FS63">
        <v>0</v>
      </c>
      <c r="FX63">
        <v>100</v>
      </c>
      <c r="FY63">
        <v>64</v>
      </c>
      <c r="GA63" t="s">
        <v>3</v>
      </c>
      <c r="GD63">
        <v>0</v>
      </c>
      <c r="GF63">
        <v>1867069396</v>
      </c>
      <c r="GG63">
        <v>2</v>
      </c>
      <c r="GH63">
        <v>1</v>
      </c>
      <c r="GI63">
        <v>2</v>
      </c>
      <c r="GJ63">
        <v>0</v>
      </c>
      <c r="GK63">
        <f>ROUND(R63*(R12)/100,2)</f>
        <v>2.29</v>
      </c>
      <c r="GL63">
        <f t="shared" si="79"/>
        <v>0</v>
      </c>
      <c r="GM63">
        <f>ROUND(O63+X63+Y63+GK63,2)+GX63</f>
        <v>1115.51</v>
      </c>
      <c r="GN63">
        <f>IF(OR(BI63=0,BI63=1),ROUND(O63+X63+Y63+GK63,2),0)</f>
        <v>1115.51</v>
      </c>
      <c r="GO63">
        <f>IF(BI63=2,ROUND(O63+X63+Y63+GK63,2),0)</f>
        <v>0</v>
      </c>
      <c r="GP63">
        <f>IF(BI63=4,ROUND(O63+X63+Y63+GK63,2)+GX63,0)</f>
        <v>0</v>
      </c>
      <c r="GR63">
        <v>0</v>
      </c>
      <c r="GS63">
        <v>3</v>
      </c>
      <c r="GT63">
        <v>0</v>
      </c>
      <c r="GU63" t="s">
        <v>3</v>
      </c>
      <c r="GV63">
        <f t="shared" si="80"/>
        <v>0</v>
      </c>
      <c r="GW63">
        <v>1</v>
      </c>
      <c r="GX63">
        <f t="shared" si="81"/>
        <v>0</v>
      </c>
      <c r="HA63">
        <v>0</v>
      </c>
      <c r="HB63">
        <v>0</v>
      </c>
      <c r="HC63">
        <f t="shared" si="82"/>
        <v>0</v>
      </c>
      <c r="IK63">
        <v>0</v>
      </c>
    </row>
    <row r="64" spans="1:245" x14ac:dyDescent="0.2">
      <c r="A64">
        <v>18</v>
      </c>
      <c r="B64">
        <v>1</v>
      </c>
      <c r="C64">
        <v>95</v>
      </c>
      <c r="E64" t="s">
        <v>197</v>
      </c>
      <c r="F64" t="s">
        <v>64</v>
      </c>
      <c r="G64" t="s">
        <v>65</v>
      </c>
      <c r="H64" t="s">
        <v>55</v>
      </c>
      <c r="I64">
        <f>I63*J64</f>
        <v>4.12</v>
      </c>
      <c r="J64">
        <v>10.299999999999999</v>
      </c>
      <c r="O64">
        <f t="shared" si="53"/>
        <v>142.08000000000001</v>
      </c>
      <c r="P64">
        <f t="shared" si="54"/>
        <v>142.08000000000001</v>
      </c>
      <c r="Q64">
        <f t="shared" si="55"/>
        <v>0</v>
      </c>
      <c r="R64">
        <f t="shared" si="56"/>
        <v>0</v>
      </c>
      <c r="S64">
        <f t="shared" si="57"/>
        <v>0</v>
      </c>
      <c r="T64">
        <f t="shared" si="58"/>
        <v>0</v>
      </c>
      <c r="U64">
        <f t="shared" si="59"/>
        <v>0</v>
      </c>
      <c r="V64">
        <f t="shared" si="60"/>
        <v>0</v>
      </c>
      <c r="W64">
        <f t="shared" si="61"/>
        <v>0</v>
      </c>
      <c r="X64">
        <f t="shared" si="62"/>
        <v>0</v>
      </c>
      <c r="Y64">
        <f t="shared" si="63"/>
        <v>0</v>
      </c>
      <c r="AA64">
        <v>44962055</v>
      </c>
      <c r="AB64">
        <f t="shared" si="64"/>
        <v>28.98</v>
      </c>
      <c r="AC64">
        <f t="shared" si="51"/>
        <v>28.98</v>
      </c>
      <c r="AD64">
        <f>ROUND((ET64),6)</f>
        <v>0</v>
      </c>
      <c r="AE64">
        <f>ROUND((EU64),6)</f>
        <v>0</v>
      </c>
      <c r="AF64">
        <f>ROUND((EV64),6)</f>
        <v>0</v>
      </c>
      <c r="AG64">
        <f t="shared" si="65"/>
        <v>0</v>
      </c>
      <c r="AH64">
        <f>(EW64)</f>
        <v>0</v>
      </c>
      <c r="AI64">
        <f>(EX64)</f>
        <v>0</v>
      </c>
      <c r="AJ64">
        <f t="shared" si="66"/>
        <v>0</v>
      </c>
      <c r="AK64">
        <v>28.98</v>
      </c>
      <c r="AL64">
        <v>28.98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1</v>
      </c>
      <c r="AW64">
        <v>1</v>
      </c>
      <c r="AZ64">
        <v>1</v>
      </c>
      <c r="BA64">
        <v>1</v>
      </c>
      <c r="BB64">
        <v>1</v>
      </c>
      <c r="BC64">
        <v>1.19</v>
      </c>
      <c r="BD64" t="s">
        <v>3</v>
      </c>
      <c r="BE64" t="s">
        <v>3</v>
      </c>
      <c r="BF64" t="s">
        <v>3</v>
      </c>
      <c r="BG64" t="s">
        <v>3</v>
      </c>
      <c r="BH64">
        <v>3</v>
      </c>
      <c r="BI64">
        <v>1</v>
      </c>
      <c r="BJ64" t="s">
        <v>66</v>
      </c>
      <c r="BM64">
        <v>1523</v>
      </c>
      <c r="BN64">
        <v>0</v>
      </c>
      <c r="BO64" t="s">
        <v>64</v>
      </c>
      <c r="BP64">
        <v>1</v>
      </c>
      <c r="BQ64">
        <v>30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Y64" t="s">
        <v>3</v>
      </c>
      <c r="BZ64">
        <v>0</v>
      </c>
      <c r="CA64">
        <v>0</v>
      </c>
      <c r="CE64">
        <v>0</v>
      </c>
      <c r="CF64">
        <v>0</v>
      </c>
      <c r="CG64">
        <v>0</v>
      </c>
      <c r="CM64">
        <v>0</v>
      </c>
      <c r="CN64" t="s">
        <v>3</v>
      </c>
      <c r="CO64">
        <v>0</v>
      </c>
      <c r="CP64">
        <f t="shared" si="67"/>
        <v>142.08000000000001</v>
      </c>
      <c r="CQ64">
        <f t="shared" si="68"/>
        <v>34.486199999999997</v>
      </c>
      <c r="CR64">
        <f t="shared" si="69"/>
        <v>0</v>
      </c>
      <c r="CS64">
        <f t="shared" si="70"/>
        <v>0</v>
      </c>
      <c r="CT64">
        <f t="shared" si="71"/>
        <v>0</v>
      </c>
      <c r="CU64">
        <f t="shared" si="72"/>
        <v>0</v>
      </c>
      <c r="CV64">
        <f t="shared" si="73"/>
        <v>0</v>
      </c>
      <c r="CW64">
        <f t="shared" si="74"/>
        <v>0</v>
      </c>
      <c r="CX64">
        <f t="shared" si="75"/>
        <v>0</v>
      </c>
      <c r="CY64">
        <f t="shared" si="76"/>
        <v>0</v>
      </c>
      <c r="CZ64">
        <f t="shared" si="77"/>
        <v>0</v>
      </c>
      <c r="DC64" t="s">
        <v>3</v>
      </c>
      <c r="DD64" t="s">
        <v>3</v>
      </c>
      <c r="DE64" t="s">
        <v>3</v>
      </c>
      <c r="DF64" t="s">
        <v>3</v>
      </c>
      <c r="DG64" t="s">
        <v>3</v>
      </c>
      <c r="DH64" t="s">
        <v>3</v>
      </c>
      <c r="DI64" t="s">
        <v>3</v>
      </c>
      <c r="DJ64" t="s">
        <v>3</v>
      </c>
      <c r="DK64" t="s">
        <v>3</v>
      </c>
      <c r="DL64" t="s">
        <v>3</v>
      </c>
      <c r="DM64" t="s">
        <v>3</v>
      </c>
      <c r="DN64">
        <v>100</v>
      </c>
      <c r="DO64">
        <v>64</v>
      </c>
      <c r="DP64">
        <v>1.0249999999999999</v>
      </c>
      <c r="DQ64">
        <v>1</v>
      </c>
      <c r="DU64">
        <v>1009</v>
      </c>
      <c r="DV64" t="s">
        <v>55</v>
      </c>
      <c r="DW64" t="s">
        <v>55</v>
      </c>
      <c r="DX64">
        <v>1</v>
      </c>
      <c r="EE64">
        <v>41868971</v>
      </c>
      <c r="EF64">
        <v>30</v>
      </c>
      <c r="EG64" t="s">
        <v>19</v>
      </c>
      <c r="EH64">
        <v>0</v>
      </c>
      <c r="EI64" t="s">
        <v>3</v>
      </c>
      <c r="EJ64">
        <v>1</v>
      </c>
      <c r="EK64">
        <v>1523</v>
      </c>
      <c r="EL64" t="s">
        <v>61</v>
      </c>
      <c r="EM64" t="s">
        <v>62</v>
      </c>
      <c r="EO64" t="s">
        <v>3</v>
      </c>
      <c r="EQ64">
        <v>0</v>
      </c>
      <c r="ER64">
        <v>28.98</v>
      </c>
      <c r="ES64">
        <v>28.98</v>
      </c>
      <c r="ET64">
        <v>0</v>
      </c>
      <c r="EU64">
        <v>0</v>
      </c>
      <c r="EV64">
        <v>0</v>
      </c>
      <c r="EW64">
        <v>0</v>
      </c>
      <c r="EX64">
        <v>0</v>
      </c>
      <c r="FQ64">
        <v>0</v>
      </c>
      <c r="FR64">
        <f t="shared" si="78"/>
        <v>0</v>
      </c>
      <c r="FS64">
        <v>0</v>
      </c>
      <c r="FX64">
        <v>100</v>
      </c>
      <c r="FY64">
        <v>64</v>
      </c>
      <c r="GA64" t="s">
        <v>3</v>
      </c>
      <c r="GD64">
        <v>1</v>
      </c>
      <c r="GF64">
        <v>33071459</v>
      </c>
      <c r="GG64">
        <v>2</v>
      </c>
      <c r="GH64">
        <v>1</v>
      </c>
      <c r="GI64">
        <v>2</v>
      </c>
      <c r="GJ64">
        <v>0</v>
      </c>
      <c r="GK64">
        <v>0</v>
      </c>
      <c r="GL64">
        <f t="shared" si="79"/>
        <v>0</v>
      </c>
      <c r="GM64">
        <f>ROUND(O64+X64+Y64,2)+GX64</f>
        <v>142.08000000000001</v>
      </c>
      <c r="GN64">
        <f>IF(OR(BI64=0,BI64=1),ROUND(O64+X64+Y64,2),0)</f>
        <v>142.08000000000001</v>
      </c>
      <c r="GO64">
        <f>IF(BI64=2,ROUND(O64+X64+Y64,2),0)</f>
        <v>0</v>
      </c>
      <c r="GP64">
        <f>IF(BI64=4,ROUND(O64+X64+Y64,2)+GX64,0)</f>
        <v>0</v>
      </c>
      <c r="GR64">
        <v>0</v>
      </c>
      <c r="GS64">
        <v>3</v>
      </c>
      <c r="GT64">
        <v>0</v>
      </c>
      <c r="GU64" t="s">
        <v>3</v>
      </c>
      <c r="GV64">
        <f t="shared" si="80"/>
        <v>0</v>
      </c>
      <c r="GW64">
        <v>1</v>
      </c>
      <c r="GX64">
        <f t="shared" si="81"/>
        <v>0</v>
      </c>
      <c r="HA64">
        <v>0</v>
      </c>
      <c r="HB64">
        <v>0</v>
      </c>
      <c r="HC64">
        <f t="shared" si="82"/>
        <v>0</v>
      </c>
      <c r="IK64">
        <v>0</v>
      </c>
    </row>
    <row r="65" spans="1:245" x14ac:dyDescent="0.2">
      <c r="A65">
        <v>17</v>
      </c>
      <c r="B65">
        <v>1</v>
      </c>
      <c r="C65">
        <f>ROW(SmtRes!A104)</f>
        <v>104</v>
      </c>
      <c r="D65">
        <f>ROW(EtalonRes!A101)</f>
        <v>101</v>
      </c>
      <c r="E65" t="s">
        <v>198</v>
      </c>
      <c r="F65" t="s">
        <v>199</v>
      </c>
      <c r="G65" t="s">
        <v>200</v>
      </c>
      <c r="H65" t="s">
        <v>201</v>
      </c>
      <c r="I65">
        <f>ROUND(40/100,9)</f>
        <v>0.4</v>
      </c>
      <c r="J65">
        <v>0</v>
      </c>
      <c r="O65">
        <f t="shared" si="53"/>
        <v>10660.71</v>
      </c>
      <c r="P65">
        <f t="shared" si="54"/>
        <v>419.87</v>
      </c>
      <c r="Q65">
        <f t="shared" si="55"/>
        <v>543.71</v>
      </c>
      <c r="R65">
        <f t="shared" si="56"/>
        <v>133.6</v>
      </c>
      <c r="S65">
        <f t="shared" si="57"/>
        <v>9697.1299999999992</v>
      </c>
      <c r="T65">
        <f t="shared" si="58"/>
        <v>0</v>
      </c>
      <c r="U65">
        <f t="shared" si="59"/>
        <v>40.494609599999997</v>
      </c>
      <c r="V65">
        <f t="shared" si="60"/>
        <v>0</v>
      </c>
      <c r="W65">
        <f t="shared" si="61"/>
        <v>0</v>
      </c>
      <c r="X65">
        <f t="shared" si="62"/>
        <v>8242.56</v>
      </c>
      <c r="Y65">
        <f t="shared" si="63"/>
        <v>3975.82</v>
      </c>
      <c r="AA65">
        <v>44962055</v>
      </c>
      <c r="AB65">
        <f t="shared" si="64"/>
        <v>1959.5195000000001</v>
      </c>
      <c r="AC65">
        <f t="shared" si="51"/>
        <v>699.78</v>
      </c>
      <c r="AD65">
        <f>ROUND(((ET65*1.25)),6)</f>
        <v>124.71250000000001</v>
      </c>
      <c r="AE65">
        <f>ROUND(((EU65*1.25)),6)</f>
        <v>15.637499999999999</v>
      </c>
      <c r="AF65">
        <f>ROUND(((EV65*1.15)),6)</f>
        <v>1135.027</v>
      </c>
      <c r="AG65">
        <f t="shared" si="65"/>
        <v>0</v>
      </c>
      <c r="AH65">
        <f>((EW65*1.15))</f>
        <v>96.691999999999993</v>
      </c>
      <c r="AI65">
        <f>((EX65*1.25))</f>
        <v>0</v>
      </c>
      <c r="AJ65">
        <f t="shared" si="66"/>
        <v>0</v>
      </c>
      <c r="AK65">
        <v>1786.53</v>
      </c>
      <c r="AL65">
        <v>699.78</v>
      </c>
      <c r="AM65">
        <v>99.77</v>
      </c>
      <c r="AN65">
        <v>12.51</v>
      </c>
      <c r="AO65">
        <v>986.98</v>
      </c>
      <c r="AP65">
        <v>0</v>
      </c>
      <c r="AQ65">
        <v>84.08</v>
      </c>
      <c r="AR65">
        <v>0</v>
      </c>
      <c r="AS65">
        <v>0</v>
      </c>
      <c r="AT65">
        <v>85</v>
      </c>
      <c r="AU65">
        <v>41</v>
      </c>
      <c r="AV65">
        <v>1.0469999999999999</v>
      </c>
      <c r="AW65">
        <v>1</v>
      </c>
      <c r="AZ65">
        <v>1</v>
      </c>
      <c r="BA65">
        <v>20.399999999999999</v>
      </c>
      <c r="BB65">
        <v>10.41</v>
      </c>
      <c r="BC65">
        <v>1.5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1</v>
      </c>
      <c r="BJ65" t="s">
        <v>202</v>
      </c>
      <c r="BM65">
        <v>92</v>
      </c>
      <c r="BN65">
        <v>0</v>
      </c>
      <c r="BO65" t="s">
        <v>199</v>
      </c>
      <c r="BP65">
        <v>1</v>
      </c>
      <c r="BQ65">
        <v>30</v>
      </c>
      <c r="BR65">
        <v>0</v>
      </c>
      <c r="BS65">
        <v>20.399999999999999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85</v>
      </c>
      <c r="CA65">
        <v>41</v>
      </c>
      <c r="CE65">
        <v>0</v>
      </c>
      <c r="CF65">
        <v>0</v>
      </c>
      <c r="CG65">
        <v>0</v>
      </c>
      <c r="CM65">
        <v>0</v>
      </c>
      <c r="CN65" t="s">
        <v>16</v>
      </c>
      <c r="CO65">
        <v>0</v>
      </c>
      <c r="CP65">
        <f t="shared" si="67"/>
        <v>10660.71</v>
      </c>
      <c r="CQ65">
        <f t="shared" si="68"/>
        <v>1049.67</v>
      </c>
      <c r="CR65">
        <f t="shared" si="69"/>
        <v>1359.275209875</v>
      </c>
      <c r="CS65">
        <f t="shared" si="70"/>
        <v>333.99823499999991</v>
      </c>
      <c r="CT65">
        <f t="shared" si="71"/>
        <v>24242.814687599999</v>
      </c>
      <c r="CU65">
        <f t="shared" si="72"/>
        <v>0</v>
      </c>
      <c r="CV65">
        <f t="shared" si="73"/>
        <v>101.23652399999999</v>
      </c>
      <c r="CW65">
        <f t="shared" si="74"/>
        <v>0</v>
      </c>
      <c r="CX65">
        <f t="shared" si="75"/>
        <v>0</v>
      </c>
      <c r="CY65">
        <f t="shared" si="76"/>
        <v>8242.5604999999996</v>
      </c>
      <c r="CZ65">
        <f t="shared" si="77"/>
        <v>3975.8232999999996</v>
      </c>
      <c r="DC65" t="s">
        <v>3</v>
      </c>
      <c r="DD65" t="s">
        <v>3</v>
      </c>
      <c r="DE65" t="s">
        <v>17</v>
      </c>
      <c r="DF65" t="s">
        <v>17</v>
      </c>
      <c r="DG65" t="s">
        <v>18</v>
      </c>
      <c r="DH65" t="s">
        <v>3</v>
      </c>
      <c r="DI65" t="s">
        <v>18</v>
      </c>
      <c r="DJ65" t="s">
        <v>17</v>
      </c>
      <c r="DK65" t="s">
        <v>3</v>
      </c>
      <c r="DL65" t="s">
        <v>3</v>
      </c>
      <c r="DM65" t="s">
        <v>3</v>
      </c>
      <c r="DN65">
        <v>104</v>
      </c>
      <c r="DO65">
        <v>70</v>
      </c>
      <c r="DP65">
        <v>1.0469999999999999</v>
      </c>
      <c r="DQ65">
        <v>1</v>
      </c>
      <c r="DU65">
        <v>1013</v>
      </c>
      <c r="DV65" t="s">
        <v>201</v>
      </c>
      <c r="DW65" t="s">
        <v>201</v>
      </c>
      <c r="DX65">
        <v>1</v>
      </c>
      <c r="EE65">
        <v>41867540</v>
      </c>
      <c r="EF65">
        <v>30</v>
      </c>
      <c r="EG65" t="s">
        <v>19</v>
      </c>
      <c r="EH65">
        <v>0</v>
      </c>
      <c r="EI65" t="s">
        <v>3</v>
      </c>
      <c r="EJ65">
        <v>1</v>
      </c>
      <c r="EK65">
        <v>92</v>
      </c>
      <c r="EL65" t="s">
        <v>203</v>
      </c>
      <c r="EM65" t="s">
        <v>204</v>
      </c>
      <c r="EO65" t="s">
        <v>22</v>
      </c>
      <c r="EQ65">
        <v>0</v>
      </c>
      <c r="ER65">
        <v>1786.53</v>
      </c>
      <c r="ES65">
        <v>699.78</v>
      </c>
      <c r="ET65">
        <v>99.77</v>
      </c>
      <c r="EU65">
        <v>12.51</v>
      </c>
      <c r="EV65">
        <v>986.98</v>
      </c>
      <c r="EW65">
        <v>84.08</v>
      </c>
      <c r="EX65">
        <v>0</v>
      </c>
      <c r="EY65">
        <v>0</v>
      </c>
      <c r="FQ65">
        <v>0</v>
      </c>
      <c r="FR65">
        <f t="shared" si="78"/>
        <v>0</v>
      </c>
      <c r="FS65">
        <v>0</v>
      </c>
      <c r="FX65">
        <v>104</v>
      </c>
      <c r="FY65">
        <v>70</v>
      </c>
      <c r="GA65" t="s">
        <v>3</v>
      </c>
      <c r="GD65">
        <v>0</v>
      </c>
      <c r="GF65">
        <v>1813605207</v>
      </c>
      <c r="GG65">
        <v>2</v>
      </c>
      <c r="GH65">
        <v>1</v>
      </c>
      <c r="GI65">
        <v>2</v>
      </c>
      <c r="GJ65">
        <v>0</v>
      </c>
      <c r="GK65">
        <f>ROUND(R65*(R12)/100,2)</f>
        <v>209.75</v>
      </c>
      <c r="GL65">
        <f t="shared" si="79"/>
        <v>0</v>
      </c>
      <c r="GM65">
        <f>ROUND(O65+X65+Y65+GK65,2)+GX65</f>
        <v>23088.84</v>
      </c>
      <c r="GN65">
        <f>IF(OR(BI65=0,BI65=1),ROUND(O65+X65+Y65+GK65,2),0)</f>
        <v>23088.84</v>
      </c>
      <c r="GO65">
        <f>IF(BI65=2,ROUND(O65+X65+Y65+GK65,2),0)</f>
        <v>0</v>
      </c>
      <c r="GP65">
        <f>IF(BI65=4,ROUND(O65+X65+Y65+GK65,2)+GX65,0)</f>
        <v>0</v>
      </c>
      <c r="GR65">
        <v>0</v>
      </c>
      <c r="GS65">
        <v>3</v>
      </c>
      <c r="GT65">
        <v>0</v>
      </c>
      <c r="GU65" t="s">
        <v>3</v>
      </c>
      <c r="GV65">
        <f t="shared" si="80"/>
        <v>0</v>
      </c>
      <c r="GW65">
        <v>1</v>
      </c>
      <c r="GX65">
        <f t="shared" si="81"/>
        <v>0</v>
      </c>
      <c r="HA65">
        <v>0</v>
      </c>
      <c r="HB65">
        <v>0</v>
      </c>
      <c r="HC65">
        <f t="shared" si="82"/>
        <v>0</v>
      </c>
      <c r="IK65">
        <v>0</v>
      </c>
    </row>
    <row r="66" spans="1:245" x14ac:dyDescent="0.2">
      <c r="A66">
        <v>18</v>
      </c>
      <c r="B66">
        <v>1</v>
      </c>
      <c r="C66">
        <v>103</v>
      </c>
      <c r="E66" t="s">
        <v>205</v>
      </c>
      <c r="F66" t="s">
        <v>206</v>
      </c>
      <c r="G66" t="s">
        <v>207</v>
      </c>
      <c r="H66" t="s">
        <v>77</v>
      </c>
      <c r="I66">
        <f>I65*J66</f>
        <v>0</v>
      </c>
      <c r="J66">
        <v>0</v>
      </c>
      <c r="O66">
        <f t="shared" si="53"/>
        <v>0</v>
      </c>
      <c r="P66">
        <f t="shared" si="54"/>
        <v>0</v>
      </c>
      <c r="Q66">
        <f t="shared" si="55"/>
        <v>0</v>
      </c>
      <c r="R66">
        <f t="shared" si="56"/>
        <v>0</v>
      </c>
      <c r="S66">
        <f t="shared" si="57"/>
        <v>0</v>
      </c>
      <c r="T66">
        <f t="shared" si="58"/>
        <v>0</v>
      </c>
      <c r="U66">
        <f t="shared" si="59"/>
        <v>0</v>
      </c>
      <c r="V66">
        <f t="shared" si="60"/>
        <v>0</v>
      </c>
      <c r="W66">
        <f t="shared" si="61"/>
        <v>0</v>
      </c>
      <c r="X66">
        <f t="shared" si="62"/>
        <v>0</v>
      </c>
      <c r="Y66">
        <f t="shared" si="63"/>
        <v>0</v>
      </c>
      <c r="AA66">
        <v>44962055</v>
      </c>
      <c r="AB66">
        <f t="shared" si="64"/>
        <v>27362.67</v>
      </c>
      <c r="AC66">
        <f t="shared" si="51"/>
        <v>27362.67</v>
      </c>
      <c r="AD66">
        <f t="shared" ref="AD66:AF68" si="85">ROUND((ET66),6)</f>
        <v>0</v>
      </c>
      <c r="AE66">
        <f t="shared" si="85"/>
        <v>0</v>
      </c>
      <c r="AF66">
        <f t="shared" si="85"/>
        <v>0</v>
      </c>
      <c r="AG66">
        <f t="shared" si="65"/>
        <v>0</v>
      </c>
      <c r="AH66">
        <f t="shared" ref="AH66:AI68" si="86">(EW66)</f>
        <v>0</v>
      </c>
      <c r="AI66">
        <f t="shared" si="86"/>
        <v>0</v>
      </c>
      <c r="AJ66">
        <f t="shared" si="66"/>
        <v>0</v>
      </c>
      <c r="AK66">
        <v>27362.67</v>
      </c>
      <c r="AL66">
        <v>27362.67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1</v>
      </c>
      <c r="AW66">
        <v>1</v>
      </c>
      <c r="AZ66">
        <v>1</v>
      </c>
      <c r="BA66">
        <v>1</v>
      </c>
      <c r="BB66">
        <v>1</v>
      </c>
      <c r="BC66">
        <v>0.95</v>
      </c>
      <c r="BD66" t="s">
        <v>3</v>
      </c>
      <c r="BE66" t="s">
        <v>3</v>
      </c>
      <c r="BF66" t="s">
        <v>3</v>
      </c>
      <c r="BG66" t="s">
        <v>3</v>
      </c>
      <c r="BH66">
        <v>3</v>
      </c>
      <c r="BI66">
        <v>1</v>
      </c>
      <c r="BJ66" t="s">
        <v>208</v>
      </c>
      <c r="BM66">
        <v>92</v>
      </c>
      <c r="BN66">
        <v>0</v>
      </c>
      <c r="BO66" t="s">
        <v>206</v>
      </c>
      <c r="BP66">
        <v>1</v>
      </c>
      <c r="BQ66">
        <v>30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Y66" t="s">
        <v>3</v>
      </c>
      <c r="BZ66">
        <v>0</v>
      </c>
      <c r="CA66">
        <v>0</v>
      </c>
      <c r="CE66">
        <v>0</v>
      </c>
      <c r="CF66">
        <v>0</v>
      </c>
      <c r="CG66">
        <v>0</v>
      </c>
      <c r="CM66">
        <v>0</v>
      </c>
      <c r="CN66" t="s">
        <v>3</v>
      </c>
      <c r="CO66">
        <v>0</v>
      </c>
      <c r="CP66">
        <f t="shared" si="67"/>
        <v>0</v>
      </c>
      <c r="CQ66">
        <f t="shared" si="68"/>
        <v>25994.536499999998</v>
      </c>
      <c r="CR66">
        <f t="shared" si="69"/>
        <v>0</v>
      </c>
      <c r="CS66">
        <f t="shared" si="70"/>
        <v>0</v>
      </c>
      <c r="CT66">
        <f t="shared" si="71"/>
        <v>0</v>
      </c>
      <c r="CU66">
        <f t="shared" si="72"/>
        <v>0</v>
      </c>
      <c r="CV66">
        <f t="shared" si="73"/>
        <v>0</v>
      </c>
      <c r="CW66">
        <f t="shared" si="74"/>
        <v>0</v>
      </c>
      <c r="CX66">
        <f t="shared" si="75"/>
        <v>0</v>
      </c>
      <c r="CY66">
        <f t="shared" si="76"/>
        <v>0</v>
      </c>
      <c r="CZ66">
        <f t="shared" si="77"/>
        <v>0</v>
      </c>
      <c r="DC66" t="s">
        <v>3</v>
      </c>
      <c r="DD66" t="s">
        <v>3</v>
      </c>
      <c r="DE66" t="s">
        <v>3</v>
      </c>
      <c r="DF66" t="s">
        <v>3</v>
      </c>
      <c r="DG66" t="s">
        <v>3</v>
      </c>
      <c r="DH66" t="s">
        <v>3</v>
      </c>
      <c r="DI66" t="s">
        <v>3</v>
      </c>
      <c r="DJ66" t="s">
        <v>3</v>
      </c>
      <c r="DK66" t="s">
        <v>3</v>
      </c>
      <c r="DL66" t="s">
        <v>3</v>
      </c>
      <c r="DM66" t="s">
        <v>3</v>
      </c>
      <c r="DN66">
        <v>104</v>
      </c>
      <c r="DO66">
        <v>70</v>
      </c>
      <c r="DP66">
        <v>1.0469999999999999</v>
      </c>
      <c r="DQ66">
        <v>1</v>
      </c>
      <c r="DU66">
        <v>1009</v>
      </c>
      <c r="DV66" t="s">
        <v>77</v>
      </c>
      <c r="DW66" t="s">
        <v>77</v>
      </c>
      <c r="DX66">
        <v>1000</v>
      </c>
      <c r="EE66">
        <v>41867540</v>
      </c>
      <c r="EF66">
        <v>30</v>
      </c>
      <c r="EG66" t="s">
        <v>19</v>
      </c>
      <c r="EH66">
        <v>0</v>
      </c>
      <c r="EI66" t="s">
        <v>3</v>
      </c>
      <c r="EJ66">
        <v>1</v>
      </c>
      <c r="EK66">
        <v>92</v>
      </c>
      <c r="EL66" t="s">
        <v>203</v>
      </c>
      <c r="EM66" t="s">
        <v>204</v>
      </c>
      <c r="EO66" t="s">
        <v>3</v>
      </c>
      <c r="EQ66">
        <v>0</v>
      </c>
      <c r="ER66">
        <v>27362.67</v>
      </c>
      <c r="ES66">
        <v>27362.67</v>
      </c>
      <c r="ET66">
        <v>0</v>
      </c>
      <c r="EU66">
        <v>0</v>
      </c>
      <c r="EV66">
        <v>0</v>
      </c>
      <c r="EW66">
        <v>0</v>
      </c>
      <c r="EX66">
        <v>0</v>
      </c>
      <c r="FQ66">
        <v>0</v>
      </c>
      <c r="FR66">
        <f t="shared" si="78"/>
        <v>0</v>
      </c>
      <c r="FS66">
        <v>0</v>
      </c>
      <c r="FX66">
        <v>104</v>
      </c>
      <c r="FY66">
        <v>70</v>
      </c>
      <c r="GA66" t="s">
        <v>3</v>
      </c>
      <c r="GD66">
        <v>1</v>
      </c>
      <c r="GF66">
        <v>1389983172</v>
      </c>
      <c r="GG66">
        <v>2</v>
      </c>
      <c r="GH66">
        <v>1</v>
      </c>
      <c r="GI66">
        <v>2</v>
      </c>
      <c r="GJ66">
        <v>0</v>
      </c>
      <c r="GK66">
        <v>0</v>
      </c>
      <c r="GL66">
        <f t="shared" si="79"/>
        <v>0</v>
      </c>
      <c r="GM66">
        <f>ROUND(O66+X66+Y66,2)+GX66</f>
        <v>0</v>
      </c>
      <c r="GN66">
        <f>IF(OR(BI66=0,BI66=1),ROUND(O66+X66+Y66,2),0)</f>
        <v>0</v>
      </c>
      <c r="GO66">
        <f>IF(BI66=2,ROUND(O66+X66+Y66,2),0)</f>
        <v>0</v>
      </c>
      <c r="GP66">
        <f>IF(BI66=4,ROUND(O66+X66+Y66,2)+GX66,0)</f>
        <v>0</v>
      </c>
      <c r="GR66">
        <v>0</v>
      </c>
      <c r="GS66">
        <v>3</v>
      </c>
      <c r="GT66">
        <v>0</v>
      </c>
      <c r="GU66" t="s">
        <v>3</v>
      </c>
      <c r="GV66">
        <f t="shared" si="80"/>
        <v>0</v>
      </c>
      <c r="GW66">
        <v>1</v>
      </c>
      <c r="GX66">
        <f t="shared" si="81"/>
        <v>0</v>
      </c>
      <c r="HA66">
        <v>0</v>
      </c>
      <c r="HB66">
        <v>0</v>
      </c>
      <c r="HC66">
        <f t="shared" si="82"/>
        <v>0</v>
      </c>
      <c r="IK66">
        <v>0</v>
      </c>
    </row>
    <row r="67" spans="1:245" x14ac:dyDescent="0.2">
      <c r="A67">
        <v>18</v>
      </c>
      <c r="B67">
        <v>1</v>
      </c>
      <c r="C67">
        <v>104</v>
      </c>
      <c r="E67" t="s">
        <v>209</v>
      </c>
      <c r="F67" t="s">
        <v>210</v>
      </c>
      <c r="G67" t="s">
        <v>211</v>
      </c>
      <c r="H67" t="s">
        <v>77</v>
      </c>
      <c r="I67">
        <f>I65*J67</f>
        <v>0.188</v>
      </c>
      <c r="J67">
        <v>0.47</v>
      </c>
      <c r="O67">
        <f t="shared" si="53"/>
        <v>1523.29</v>
      </c>
      <c r="P67">
        <f t="shared" si="54"/>
        <v>1523.29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44962055</v>
      </c>
      <c r="AB67">
        <f t="shared" si="64"/>
        <v>1677.56</v>
      </c>
      <c r="AC67">
        <f t="shared" si="51"/>
        <v>1677.56</v>
      </c>
      <c r="AD67">
        <f t="shared" si="85"/>
        <v>0</v>
      </c>
      <c r="AE67">
        <f t="shared" si="85"/>
        <v>0</v>
      </c>
      <c r="AF67">
        <f t="shared" si="85"/>
        <v>0</v>
      </c>
      <c r="AG67">
        <f t="shared" si="65"/>
        <v>0</v>
      </c>
      <c r="AH67">
        <f t="shared" si="86"/>
        <v>0</v>
      </c>
      <c r="AI67">
        <f t="shared" si="86"/>
        <v>0</v>
      </c>
      <c r="AJ67">
        <f t="shared" si="66"/>
        <v>0</v>
      </c>
      <c r="AK67">
        <v>1677.56</v>
      </c>
      <c r="AL67">
        <v>1677.56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4.83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212</v>
      </c>
      <c r="BM67">
        <v>92</v>
      </c>
      <c r="BN67">
        <v>0</v>
      </c>
      <c r="BO67" t="s">
        <v>210</v>
      </c>
      <c r="BP67">
        <v>1</v>
      </c>
      <c r="BQ67">
        <v>30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E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67"/>
        <v>1523.29</v>
      </c>
      <c r="CQ67">
        <f t="shared" si="68"/>
        <v>8102.6148000000003</v>
      </c>
      <c r="CR67">
        <f t="shared" si="69"/>
        <v>0</v>
      </c>
      <c r="CS67">
        <f t="shared" si="70"/>
        <v>0</v>
      </c>
      <c r="CT67">
        <f t="shared" si="71"/>
        <v>0</v>
      </c>
      <c r="CU67">
        <f t="shared" si="72"/>
        <v>0</v>
      </c>
      <c r="CV67">
        <f t="shared" si="73"/>
        <v>0</v>
      </c>
      <c r="CW67">
        <f t="shared" si="74"/>
        <v>0</v>
      </c>
      <c r="CX67">
        <f t="shared" si="75"/>
        <v>0</v>
      </c>
      <c r="CY67">
        <f t="shared" si="76"/>
        <v>0</v>
      </c>
      <c r="CZ67">
        <f t="shared" si="77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104</v>
      </c>
      <c r="DO67">
        <v>70</v>
      </c>
      <c r="DP67">
        <v>1.0469999999999999</v>
      </c>
      <c r="DQ67">
        <v>1</v>
      </c>
      <c r="DU67">
        <v>1009</v>
      </c>
      <c r="DV67" t="s">
        <v>77</v>
      </c>
      <c r="DW67" t="s">
        <v>77</v>
      </c>
      <c r="DX67">
        <v>1000</v>
      </c>
      <c r="EE67">
        <v>41867540</v>
      </c>
      <c r="EF67">
        <v>30</v>
      </c>
      <c r="EG67" t="s">
        <v>19</v>
      </c>
      <c r="EH67">
        <v>0</v>
      </c>
      <c r="EI67" t="s">
        <v>3</v>
      </c>
      <c r="EJ67">
        <v>1</v>
      </c>
      <c r="EK67">
        <v>92</v>
      </c>
      <c r="EL67" t="s">
        <v>203</v>
      </c>
      <c r="EM67" t="s">
        <v>204</v>
      </c>
      <c r="EO67" t="s">
        <v>3</v>
      </c>
      <c r="EQ67">
        <v>0</v>
      </c>
      <c r="ER67">
        <v>1677.56</v>
      </c>
      <c r="ES67">
        <v>1677.56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78"/>
        <v>0</v>
      </c>
      <c r="FS67">
        <v>0</v>
      </c>
      <c r="FX67">
        <v>104</v>
      </c>
      <c r="FY67">
        <v>70</v>
      </c>
      <c r="GA67" t="s">
        <v>3</v>
      </c>
      <c r="GD67">
        <v>1</v>
      </c>
      <c r="GF67">
        <v>-295233466</v>
      </c>
      <c r="GG67">
        <v>2</v>
      </c>
      <c r="GH67">
        <v>1</v>
      </c>
      <c r="GI67">
        <v>2</v>
      </c>
      <c r="GJ67">
        <v>0</v>
      </c>
      <c r="GK67">
        <v>0</v>
      </c>
      <c r="GL67">
        <f t="shared" si="79"/>
        <v>0</v>
      </c>
      <c r="GM67">
        <f>ROUND(O67+X67+Y67,2)+GX67</f>
        <v>1523.29</v>
      </c>
      <c r="GN67">
        <f>IF(OR(BI67=0,BI67=1),ROUND(O67+X67+Y67,2),0)</f>
        <v>1523.29</v>
      </c>
      <c r="GO67">
        <f>IF(BI67=2,ROUND(O67+X67+Y67,2),0)</f>
        <v>0</v>
      </c>
      <c r="GP67">
        <f>IF(BI67=4,ROUND(O67+X67+Y67,2)+GX67,0)</f>
        <v>0</v>
      </c>
      <c r="GR67">
        <v>0</v>
      </c>
      <c r="GS67">
        <v>3</v>
      </c>
      <c r="GT67">
        <v>0</v>
      </c>
      <c r="GU67" t="s">
        <v>3</v>
      </c>
      <c r="GV67">
        <f t="shared" si="80"/>
        <v>0</v>
      </c>
      <c r="GW67">
        <v>1</v>
      </c>
      <c r="GX67">
        <f t="shared" si="81"/>
        <v>0</v>
      </c>
      <c r="HA67">
        <v>0</v>
      </c>
      <c r="HB67">
        <v>0</v>
      </c>
      <c r="HC67">
        <f t="shared" si="82"/>
        <v>0</v>
      </c>
      <c r="IK67">
        <v>0</v>
      </c>
    </row>
    <row r="68" spans="1:245" x14ac:dyDescent="0.2">
      <c r="A68">
        <v>18</v>
      </c>
      <c r="B68">
        <v>1</v>
      </c>
      <c r="C68">
        <v>102</v>
      </c>
      <c r="E68" t="s">
        <v>213</v>
      </c>
      <c r="F68" t="s">
        <v>214</v>
      </c>
      <c r="G68" t="s">
        <v>215</v>
      </c>
      <c r="H68" t="s">
        <v>36</v>
      </c>
      <c r="I68">
        <f>I65*J68</f>
        <v>40.799999999999997</v>
      </c>
      <c r="J68">
        <v>101.99999999999999</v>
      </c>
      <c r="O68">
        <f t="shared" si="53"/>
        <v>25388.83</v>
      </c>
      <c r="P68">
        <f t="shared" si="54"/>
        <v>25388.83</v>
      </c>
      <c r="Q68">
        <f t="shared" si="55"/>
        <v>0</v>
      </c>
      <c r="R68">
        <f t="shared" si="56"/>
        <v>0</v>
      </c>
      <c r="S68">
        <f t="shared" si="57"/>
        <v>0</v>
      </c>
      <c r="T68">
        <f t="shared" si="58"/>
        <v>0</v>
      </c>
      <c r="U68">
        <f t="shared" si="59"/>
        <v>0</v>
      </c>
      <c r="V68">
        <f t="shared" si="60"/>
        <v>0</v>
      </c>
      <c r="W68">
        <f t="shared" si="61"/>
        <v>0</v>
      </c>
      <c r="X68">
        <f t="shared" si="62"/>
        <v>0</v>
      </c>
      <c r="Y68">
        <f t="shared" si="63"/>
        <v>0</v>
      </c>
      <c r="AA68">
        <v>44962055</v>
      </c>
      <c r="AB68">
        <f t="shared" si="64"/>
        <v>198.81</v>
      </c>
      <c r="AC68">
        <f t="shared" si="51"/>
        <v>198.81</v>
      </c>
      <c r="AD68">
        <f t="shared" si="85"/>
        <v>0</v>
      </c>
      <c r="AE68">
        <f t="shared" si="85"/>
        <v>0</v>
      </c>
      <c r="AF68">
        <f t="shared" si="85"/>
        <v>0</v>
      </c>
      <c r="AG68">
        <f t="shared" si="65"/>
        <v>0</v>
      </c>
      <c r="AH68">
        <f t="shared" si="86"/>
        <v>0</v>
      </c>
      <c r="AI68">
        <f t="shared" si="86"/>
        <v>0</v>
      </c>
      <c r="AJ68">
        <f t="shared" si="66"/>
        <v>0</v>
      </c>
      <c r="AK68">
        <v>198.81</v>
      </c>
      <c r="AL68">
        <v>198.81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1</v>
      </c>
      <c r="AW68">
        <v>1</v>
      </c>
      <c r="AZ68">
        <v>1</v>
      </c>
      <c r="BA68">
        <v>1</v>
      </c>
      <c r="BB68">
        <v>1</v>
      </c>
      <c r="BC68">
        <v>3.13</v>
      </c>
      <c r="BD68" t="s">
        <v>3</v>
      </c>
      <c r="BE68" t="s">
        <v>3</v>
      </c>
      <c r="BF68" t="s">
        <v>3</v>
      </c>
      <c r="BG68" t="s">
        <v>3</v>
      </c>
      <c r="BH68">
        <v>3</v>
      </c>
      <c r="BI68">
        <v>1</v>
      </c>
      <c r="BJ68" t="s">
        <v>216</v>
      </c>
      <c r="BM68">
        <v>92</v>
      </c>
      <c r="BN68">
        <v>0</v>
      </c>
      <c r="BO68" t="s">
        <v>214</v>
      </c>
      <c r="BP68">
        <v>1</v>
      </c>
      <c r="BQ68">
        <v>30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Y68" t="s">
        <v>3</v>
      </c>
      <c r="BZ68">
        <v>0</v>
      </c>
      <c r="CA68">
        <v>0</v>
      </c>
      <c r="CE68">
        <v>0</v>
      </c>
      <c r="CF68">
        <v>0</v>
      </c>
      <c r="CG68">
        <v>0</v>
      </c>
      <c r="CM68">
        <v>0</v>
      </c>
      <c r="CN68" t="s">
        <v>3</v>
      </c>
      <c r="CO68">
        <v>0</v>
      </c>
      <c r="CP68">
        <f t="shared" si="67"/>
        <v>25388.83</v>
      </c>
      <c r="CQ68">
        <f t="shared" si="68"/>
        <v>622.27530000000002</v>
      </c>
      <c r="CR68">
        <f t="shared" si="69"/>
        <v>0</v>
      </c>
      <c r="CS68">
        <f t="shared" si="70"/>
        <v>0</v>
      </c>
      <c r="CT68">
        <f t="shared" si="71"/>
        <v>0</v>
      </c>
      <c r="CU68">
        <f t="shared" si="72"/>
        <v>0</v>
      </c>
      <c r="CV68">
        <f t="shared" si="73"/>
        <v>0</v>
      </c>
      <c r="CW68">
        <f t="shared" si="74"/>
        <v>0</v>
      </c>
      <c r="CX68">
        <f t="shared" si="75"/>
        <v>0</v>
      </c>
      <c r="CY68">
        <f t="shared" si="76"/>
        <v>0</v>
      </c>
      <c r="CZ68">
        <f t="shared" si="77"/>
        <v>0</v>
      </c>
      <c r="DC68" t="s">
        <v>3</v>
      </c>
      <c r="DD68" t="s">
        <v>3</v>
      </c>
      <c r="DE68" t="s">
        <v>3</v>
      </c>
      <c r="DF68" t="s">
        <v>3</v>
      </c>
      <c r="DG68" t="s">
        <v>3</v>
      </c>
      <c r="DH68" t="s">
        <v>3</v>
      </c>
      <c r="DI68" t="s">
        <v>3</v>
      </c>
      <c r="DJ68" t="s">
        <v>3</v>
      </c>
      <c r="DK68" t="s">
        <v>3</v>
      </c>
      <c r="DL68" t="s">
        <v>3</v>
      </c>
      <c r="DM68" t="s">
        <v>3</v>
      </c>
      <c r="DN68">
        <v>104</v>
      </c>
      <c r="DO68">
        <v>70</v>
      </c>
      <c r="DP68">
        <v>1.0469999999999999</v>
      </c>
      <c r="DQ68">
        <v>1</v>
      </c>
      <c r="DU68">
        <v>1005</v>
      </c>
      <c r="DV68" t="s">
        <v>36</v>
      </c>
      <c r="DW68" t="s">
        <v>36</v>
      </c>
      <c r="DX68">
        <v>1</v>
      </c>
      <c r="EE68">
        <v>41867540</v>
      </c>
      <c r="EF68">
        <v>30</v>
      </c>
      <c r="EG68" t="s">
        <v>19</v>
      </c>
      <c r="EH68">
        <v>0</v>
      </c>
      <c r="EI68" t="s">
        <v>3</v>
      </c>
      <c r="EJ68">
        <v>1</v>
      </c>
      <c r="EK68">
        <v>92</v>
      </c>
      <c r="EL68" t="s">
        <v>203</v>
      </c>
      <c r="EM68" t="s">
        <v>204</v>
      </c>
      <c r="EO68" t="s">
        <v>3</v>
      </c>
      <c r="EQ68">
        <v>0</v>
      </c>
      <c r="ER68">
        <v>198.81</v>
      </c>
      <c r="ES68">
        <v>198.81</v>
      </c>
      <c r="ET68">
        <v>0</v>
      </c>
      <c r="EU68">
        <v>0</v>
      </c>
      <c r="EV68">
        <v>0</v>
      </c>
      <c r="EW68">
        <v>0</v>
      </c>
      <c r="EX68">
        <v>0</v>
      </c>
      <c r="FQ68">
        <v>0</v>
      </c>
      <c r="FR68">
        <f t="shared" si="78"/>
        <v>0</v>
      </c>
      <c r="FS68">
        <v>0</v>
      </c>
      <c r="FX68">
        <v>104</v>
      </c>
      <c r="FY68">
        <v>70</v>
      </c>
      <c r="GA68" t="s">
        <v>3</v>
      </c>
      <c r="GD68">
        <v>1</v>
      </c>
      <c r="GF68">
        <v>1090211801</v>
      </c>
      <c r="GG68">
        <v>2</v>
      </c>
      <c r="GH68">
        <v>1</v>
      </c>
      <c r="GI68">
        <v>2</v>
      </c>
      <c r="GJ68">
        <v>0</v>
      </c>
      <c r="GK68">
        <v>0</v>
      </c>
      <c r="GL68">
        <f t="shared" si="79"/>
        <v>0</v>
      </c>
      <c r="GM68">
        <f>ROUND(O68+X68+Y68,2)+GX68</f>
        <v>25388.83</v>
      </c>
      <c r="GN68">
        <f>IF(OR(BI68=0,BI68=1),ROUND(O68+X68+Y68,2),0)</f>
        <v>25388.83</v>
      </c>
      <c r="GO68">
        <f>IF(BI68=2,ROUND(O68+X68+Y68,2),0)</f>
        <v>0</v>
      </c>
      <c r="GP68">
        <f>IF(BI68=4,ROUND(O68+X68+Y68,2)+GX68,0)</f>
        <v>0</v>
      </c>
      <c r="GR68">
        <v>0</v>
      </c>
      <c r="GS68">
        <v>3</v>
      </c>
      <c r="GT68">
        <v>0</v>
      </c>
      <c r="GU68" t="s">
        <v>3</v>
      </c>
      <c r="GV68">
        <f t="shared" si="80"/>
        <v>0</v>
      </c>
      <c r="GW68">
        <v>1</v>
      </c>
      <c r="GX68">
        <f t="shared" si="81"/>
        <v>0</v>
      </c>
      <c r="HA68">
        <v>0</v>
      </c>
      <c r="HB68">
        <v>0</v>
      </c>
      <c r="HC68">
        <f t="shared" si="82"/>
        <v>0</v>
      </c>
      <c r="IK68">
        <v>0</v>
      </c>
    </row>
    <row r="69" spans="1:245" x14ac:dyDescent="0.2">
      <c r="A69">
        <v>17</v>
      </c>
      <c r="B69">
        <v>1</v>
      </c>
      <c r="C69">
        <f>ROW(SmtRes!A108)</f>
        <v>108</v>
      </c>
      <c r="D69">
        <f>ROW(EtalonRes!A105)</f>
        <v>105</v>
      </c>
      <c r="E69" t="s">
        <v>217</v>
      </c>
      <c r="F69" t="s">
        <v>58</v>
      </c>
      <c r="G69" t="s">
        <v>59</v>
      </c>
      <c r="H69" t="s">
        <v>14</v>
      </c>
      <c r="I69">
        <f>ROUND(206/100,9)</f>
        <v>2.06</v>
      </c>
      <c r="J69">
        <v>0</v>
      </c>
      <c r="O69">
        <f t="shared" si="53"/>
        <v>2591.75</v>
      </c>
      <c r="P69">
        <f t="shared" si="54"/>
        <v>0</v>
      </c>
      <c r="Q69">
        <f t="shared" si="55"/>
        <v>16.88</v>
      </c>
      <c r="R69">
        <f t="shared" si="56"/>
        <v>7.54</v>
      </c>
      <c r="S69">
        <f t="shared" si="57"/>
        <v>2574.87</v>
      </c>
      <c r="T69">
        <f t="shared" si="58"/>
        <v>0</v>
      </c>
      <c r="U69">
        <f t="shared" si="59"/>
        <v>11.29124625</v>
      </c>
      <c r="V69">
        <f t="shared" si="60"/>
        <v>0</v>
      </c>
      <c r="W69">
        <f t="shared" si="61"/>
        <v>0</v>
      </c>
      <c r="X69">
        <f t="shared" si="62"/>
        <v>2085.64</v>
      </c>
      <c r="Y69">
        <f t="shared" si="63"/>
        <v>1055.7</v>
      </c>
      <c r="AA69">
        <v>44962055</v>
      </c>
      <c r="AB69">
        <f t="shared" si="64"/>
        <v>60.802</v>
      </c>
      <c r="AC69">
        <f t="shared" si="51"/>
        <v>0</v>
      </c>
      <c r="AD69">
        <f>ROUND(((ET69*1.25)),6)</f>
        <v>1.0249999999999999</v>
      </c>
      <c r="AE69">
        <f>ROUND(((EU69*1.25)),6)</f>
        <v>0.17499999999999999</v>
      </c>
      <c r="AF69">
        <f>ROUND(((EV69*1.15)),6)</f>
        <v>59.777000000000001</v>
      </c>
      <c r="AG69">
        <f t="shared" si="65"/>
        <v>0</v>
      </c>
      <c r="AH69">
        <f>((EW69*1.15))</f>
        <v>5.3475000000000001</v>
      </c>
      <c r="AI69">
        <f>((EX69*1.25))</f>
        <v>0</v>
      </c>
      <c r="AJ69">
        <f t="shared" si="66"/>
        <v>0</v>
      </c>
      <c r="AK69">
        <v>52.8</v>
      </c>
      <c r="AL69">
        <v>0</v>
      </c>
      <c r="AM69">
        <v>0.82</v>
      </c>
      <c r="AN69">
        <v>0.14000000000000001</v>
      </c>
      <c r="AO69">
        <v>51.98</v>
      </c>
      <c r="AP69">
        <v>0</v>
      </c>
      <c r="AQ69">
        <v>4.6500000000000004</v>
      </c>
      <c r="AR69">
        <v>0</v>
      </c>
      <c r="AS69">
        <v>0</v>
      </c>
      <c r="AT69">
        <v>81</v>
      </c>
      <c r="AU69">
        <v>41</v>
      </c>
      <c r="AV69">
        <v>1.0249999999999999</v>
      </c>
      <c r="AW69">
        <v>1</v>
      </c>
      <c r="AZ69">
        <v>1</v>
      </c>
      <c r="BA69">
        <v>20.399999999999999</v>
      </c>
      <c r="BB69">
        <v>7.8</v>
      </c>
      <c r="BC69">
        <v>1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60</v>
      </c>
      <c r="BM69">
        <v>1523</v>
      </c>
      <c r="BN69">
        <v>0</v>
      </c>
      <c r="BO69" t="s">
        <v>58</v>
      </c>
      <c r="BP69">
        <v>1</v>
      </c>
      <c r="BQ69">
        <v>30</v>
      </c>
      <c r="BR69">
        <v>0</v>
      </c>
      <c r="BS69">
        <v>20.399999999999999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81</v>
      </c>
      <c r="CA69">
        <v>41</v>
      </c>
      <c r="CE69">
        <v>0</v>
      </c>
      <c r="CF69">
        <v>0</v>
      </c>
      <c r="CG69">
        <v>0</v>
      </c>
      <c r="CM69">
        <v>0</v>
      </c>
      <c r="CN69" t="s">
        <v>16</v>
      </c>
      <c r="CO69">
        <v>0</v>
      </c>
      <c r="CP69">
        <f t="shared" si="67"/>
        <v>2591.75</v>
      </c>
      <c r="CQ69">
        <f t="shared" si="68"/>
        <v>0</v>
      </c>
      <c r="CR69">
        <f t="shared" si="69"/>
        <v>8.1948749999999979</v>
      </c>
      <c r="CS69">
        <f t="shared" si="70"/>
        <v>3.6592499999999992</v>
      </c>
      <c r="CT69">
        <f t="shared" si="71"/>
        <v>1249.9370699999997</v>
      </c>
      <c r="CU69">
        <f t="shared" si="72"/>
        <v>0</v>
      </c>
      <c r="CV69">
        <f t="shared" si="73"/>
        <v>5.4811874999999999</v>
      </c>
      <c r="CW69">
        <f t="shared" si="74"/>
        <v>0</v>
      </c>
      <c r="CX69">
        <f t="shared" si="75"/>
        <v>0</v>
      </c>
      <c r="CY69">
        <f t="shared" si="76"/>
        <v>2085.6446999999998</v>
      </c>
      <c r="CZ69">
        <f t="shared" si="77"/>
        <v>1055.6967</v>
      </c>
      <c r="DC69" t="s">
        <v>3</v>
      </c>
      <c r="DD69" t="s">
        <v>3</v>
      </c>
      <c r="DE69" t="s">
        <v>17</v>
      </c>
      <c r="DF69" t="s">
        <v>17</v>
      </c>
      <c r="DG69" t="s">
        <v>18</v>
      </c>
      <c r="DH69" t="s">
        <v>3</v>
      </c>
      <c r="DI69" t="s">
        <v>18</v>
      </c>
      <c r="DJ69" t="s">
        <v>17</v>
      </c>
      <c r="DK69" t="s">
        <v>3</v>
      </c>
      <c r="DL69" t="s">
        <v>3</v>
      </c>
      <c r="DM69" t="s">
        <v>3</v>
      </c>
      <c r="DN69">
        <v>100</v>
      </c>
      <c r="DO69">
        <v>64</v>
      </c>
      <c r="DP69">
        <v>1.0249999999999999</v>
      </c>
      <c r="DQ69">
        <v>1</v>
      </c>
      <c r="DU69">
        <v>1005</v>
      </c>
      <c r="DV69" t="s">
        <v>14</v>
      </c>
      <c r="DW69" t="s">
        <v>14</v>
      </c>
      <c r="DX69">
        <v>100</v>
      </c>
      <c r="EE69">
        <v>41868971</v>
      </c>
      <c r="EF69">
        <v>30</v>
      </c>
      <c r="EG69" t="s">
        <v>19</v>
      </c>
      <c r="EH69">
        <v>0</v>
      </c>
      <c r="EI69" t="s">
        <v>3</v>
      </c>
      <c r="EJ69">
        <v>1</v>
      </c>
      <c r="EK69">
        <v>1523</v>
      </c>
      <c r="EL69" t="s">
        <v>61</v>
      </c>
      <c r="EM69" t="s">
        <v>62</v>
      </c>
      <c r="EO69" t="s">
        <v>22</v>
      </c>
      <c r="EQ69">
        <v>0</v>
      </c>
      <c r="ER69">
        <v>52.8</v>
      </c>
      <c r="ES69">
        <v>0</v>
      </c>
      <c r="ET69">
        <v>0.82</v>
      </c>
      <c r="EU69">
        <v>0.14000000000000001</v>
      </c>
      <c r="EV69">
        <v>51.98</v>
      </c>
      <c r="EW69">
        <v>4.6500000000000004</v>
      </c>
      <c r="EX69">
        <v>0</v>
      </c>
      <c r="EY69">
        <v>0</v>
      </c>
      <c r="FQ69">
        <v>0</v>
      </c>
      <c r="FR69">
        <f t="shared" si="78"/>
        <v>0</v>
      </c>
      <c r="FS69">
        <v>0</v>
      </c>
      <c r="FX69">
        <v>100</v>
      </c>
      <c r="FY69">
        <v>64</v>
      </c>
      <c r="GA69" t="s">
        <v>3</v>
      </c>
      <c r="GD69">
        <v>0</v>
      </c>
      <c r="GF69">
        <v>-1757916944</v>
      </c>
      <c r="GG69">
        <v>2</v>
      </c>
      <c r="GH69">
        <v>1</v>
      </c>
      <c r="GI69">
        <v>2</v>
      </c>
      <c r="GJ69">
        <v>0</v>
      </c>
      <c r="GK69">
        <f>ROUND(R69*(R12)/100,2)</f>
        <v>11.84</v>
      </c>
      <c r="GL69">
        <f t="shared" si="79"/>
        <v>0</v>
      </c>
      <c r="GM69">
        <f>ROUND(O69+X69+Y69+GK69,2)+GX69</f>
        <v>5744.93</v>
      </c>
      <c r="GN69">
        <f>IF(OR(BI69=0,BI69=1),ROUND(O69+X69+Y69+GK69,2),0)</f>
        <v>5744.93</v>
      </c>
      <c r="GO69">
        <f>IF(BI69=2,ROUND(O69+X69+Y69+GK69,2),0)</f>
        <v>0</v>
      </c>
      <c r="GP69">
        <f>IF(BI69=4,ROUND(O69+X69+Y69+GK69,2)+GX69,0)</f>
        <v>0</v>
      </c>
      <c r="GR69">
        <v>0</v>
      </c>
      <c r="GS69">
        <v>3</v>
      </c>
      <c r="GT69">
        <v>0</v>
      </c>
      <c r="GU69" t="s">
        <v>3</v>
      </c>
      <c r="GV69">
        <f t="shared" si="80"/>
        <v>0</v>
      </c>
      <c r="GW69">
        <v>1</v>
      </c>
      <c r="GX69">
        <f t="shared" si="81"/>
        <v>0</v>
      </c>
      <c r="HA69">
        <v>0</v>
      </c>
      <c r="HB69">
        <v>0</v>
      </c>
      <c r="HC69">
        <f t="shared" si="82"/>
        <v>0</v>
      </c>
      <c r="IK69">
        <v>0</v>
      </c>
    </row>
    <row r="70" spans="1:245" x14ac:dyDescent="0.2">
      <c r="A70">
        <v>18</v>
      </c>
      <c r="B70">
        <v>1</v>
      </c>
      <c r="C70">
        <v>108</v>
      </c>
      <c r="E70" t="s">
        <v>218</v>
      </c>
      <c r="F70" t="s">
        <v>64</v>
      </c>
      <c r="G70" t="s">
        <v>65</v>
      </c>
      <c r="H70" t="s">
        <v>55</v>
      </c>
      <c r="I70">
        <f>I69*J70</f>
        <v>21.218</v>
      </c>
      <c r="J70">
        <v>10.299999999999999</v>
      </c>
      <c r="O70">
        <f t="shared" si="53"/>
        <v>731.73</v>
      </c>
      <c r="P70">
        <f t="shared" si="54"/>
        <v>731.73</v>
      </c>
      <c r="Q70">
        <f t="shared" si="55"/>
        <v>0</v>
      </c>
      <c r="R70">
        <f t="shared" si="56"/>
        <v>0</v>
      </c>
      <c r="S70">
        <f t="shared" si="57"/>
        <v>0</v>
      </c>
      <c r="T70">
        <f t="shared" si="58"/>
        <v>0</v>
      </c>
      <c r="U70">
        <f t="shared" si="59"/>
        <v>0</v>
      </c>
      <c r="V70">
        <f t="shared" si="60"/>
        <v>0</v>
      </c>
      <c r="W70">
        <f t="shared" si="61"/>
        <v>0</v>
      </c>
      <c r="X70">
        <f t="shared" si="62"/>
        <v>0</v>
      </c>
      <c r="Y70">
        <f t="shared" si="63"/>
        <v>0</v>
      </c>
      <c r="AA70">
        <v>44962055</v>
      </c>
      <c r="AB70">
        <f t="shared" si="64"/>
        <v>28.98</v>
      </c>
      <c r="AC70">
        <f t="shared" si="51"/>
        <v>28.98</v>
      </c>
      <c r="AD70">
        <f>ROUND((ET70),6)</f>
        <v>0</v>
      </c>
      <c r="AE70">
        <f>ROUND((EU70),6)</f>
        <v>0</v>
      </c>
      <c r="AF70">
        <f>ROUND((EV70),6)</f>
        <v>0</v>
      </c>
      <c r="AG70">
        <f t="shared" si="65"/>
        <v>0</v>
      </c>
      <c r="AH70">
        <f>(EW70)</f>
        <v>0</v>
      </c>
      <c r="AI70">
        <f>(EX70)</f>
        <v>0</v>
      </c>
      <c r="AJ70">
        <f t="shared" si="66"/>
        <v>0</v>
      </c>
      <c r="AK70">
        <v>28.98</v>
      </c>
      <c r="AL70">
        <v>28.98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1</v>
      </c>
      <c r="AW70">
        <v>1</v>
      </c>
      <c r="AZ70">
        <v>1</v>
      </c>
      <c r="BA70">
        <v>1</v>
      </c>
      <c r="BB70">
        <v>1</v>
      </c>
      <c r="BC70">
        <v>1.19</v>
      </c>
      <c r="BD70" t="s">
        <v>3</v>
      </c>
      <c r="BE70" t="s">
        <v>3</v>
      </c>
      <c r="BF70" t="s">
        <v>3</v>
      </c>
      <c r="BG70" t="s">
        <v>3</v>
      </c>
      <c r="BH70">
        <v>3</v>
      </c>
      <c r="BI70">
        <v>1</v>
      </c>
      <c r="BJ70" t="s">
        <v>66</v>
      </c>
      <c r="BM70">
        <v>1523</v>
      </c>
      <c r="BN70">
        <v>0</v>
      </c>
      <c r="BO70" t="s">
        <v>64</v>
      </c>
      <c r="BP70">
        <v>1</v>
      </c>
      <c r="BQ70">
        <v>30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</v>
      </c>
      <c r="BZ70">
        <v>0</v>
      </c>
      <c r="CA70">
        <v>0</v>
      </c>
      <c r="CE70">
        <v>0</v>
      </c>
      <c r="CF70">
        <v>0</v>
      </c>
      <c r="CG70">
        <v>0</v>
      </c>
      <c r="CM70">
        <v>0</v>
      </c>
      <c r="CN70" t="s">
        <v>3</v>
      </c>
      <c r="CO70">
        <v>0</v>
      </c>
      <c r="CP70">
        <f t="shared" si="67"/>
        <v>731.73</v>
      </c>
      <c r="CQ70">
        <f t="shared" si="68"/>
        <v>34.486199999999997</v>
      </c>
      <c r="CR70">
        <f t="shared" si="69"/>
        <v>0</v>
      </c>
      <c r="CS70">
        <f t="shared" si="70"/>
        <v>0</v>
      </c>
      <c r="CT70">
        <f t="shared" si="71"/>
        <v>0</v>
      </c>
      <c r="CU70">
        <f t="shared" si="72"/>
        <v>0</v>
      </c>
      <c r="CV70">
        <f t="shared" si="73"/>
        <v>0</v>
      </c>
      <c r="CW70">
        <f t="shared" si="74"/>
        <v>0</v>
      </c>
      <c r="CX70">
        <f t="shared" si="75"/>
        <v>0</v>
      </c>
      <c r="CY70">
        <f t="shared" si="76"/>
        <v>0</v>
      </c>
      <c r="CZ70">
        <f t="shared" si="77"/>
        <v>0</v>
      </c>
      <c r="DC70" t="s">
        <v>3</v>
      </c>
      <c r="DD70" t="s">
        <v>3</v>
      </c>
      <c r="DE70" t="s">
        <v>3</v>
      </c>
      <c r="DF70" t="s">
        <v>3</v>
      </c>
      <c r="DG70" t="s">
        <v>3</v>
      </c>
      <c r="DH70" t="s">
        <v>3</v>
      </c>
      <c r="DI70" t="s">
        <v>3</v>
      </c>
      <c r="DJ70" t="s">
        <v>3</v>
      </c>
      <c r="DK70" t="s">
        <v>3</v>
      </c>
      <c r="DL70" t="s">
        <v>3</v>
      </c>
      <c r="DM70" t="s">
        <v>3</v>
      </c>
      <c r="DN70">
        <v>100</v>
      </c>
      <c r="DO70">
        <v>64</v>
      </c>
      <c r="DP70">
        <v>1.0249999999999999</v>
      </c>
      <c r="DQ70">
        <v>1</v>
      </c>
      <c r="DU70">
        <v>1009</v>
      </c>
      <c r="DV70" t="s">
        <v>55</v>
      </c>
      <c r="DW70" t="s">
        <v>55</v>
      </c>
      <c r="DX70">
        <v>1</v>
      </c>
      <c r="EE70">
        <v>41868971</v>
      </c>
      <c r="EF70">
        <v>30</v>
      </c>
      <c r="EG70" t="s">
        <v>19</v>
      </c>
      <c r="EH70">
        <v>0</v>
      </c>
      <c r="EI70" t="s">
        <v>3</v>
      </c>
      <c r="EJ70">
        <v>1</v>
      </c>
      <c r="EK70">
        <v>1523</v>
      </c>
      <c r="EL70" t="s">
        <v>61</v>
      </c>
      <c r="EM70" t="s">
        <v>62</v>
      </c>
      <c r="EO70" t="s">
        <v>3</v>
      </c>
      <c r="EQ70">
        <v>0</v>
      </c>
      <c r="ER70">
        <v>28.98</v>
      </c>
      <c r="ES70">
        <v>28.98</v>
      </c>
      <c r="ET70">
        <v>0</v>
      </c>
      <c r="EU70">
        <v>0</v>
      </c>
      <c r="EV70">
        <v>0</v>
      </c>
      <c r="EW70">
        <v>0</v>
      </c>
      <c r="EX70">
        <v>0</v>
      </c>
      <c r="FQ70">
        <v>0</v>
      </c>
      <c r="FR70">
        <f t="shared" si="78"/>
        <v>0</v>
      </c>
      <c r="FS70">
        <v>0</v>
      </c>
      <c r="FX70">
        <v>100</v>
      </c>
      <c r="FY70">
        <v>64</v>
      </c>
      <c r="GA70" t="s">
        <v>3</v>
      </c>
      <c r="GD70">
        <v>1</v>
      </c>
      <c r="GF70">
        <v>33071459</v>
      </c>
      <c r="GG70">
        <v>2</v>
      </c>
      <c r="GH70">
        <v>1</v>
      </c>
      <c r="GI70">
        <v>2</v>
      </c>
      <c r="GJ70">
        <v>0</v>
      </c>
      <c r="GK70">
        <v>0</v>
      </c>
      <c r="GL70">
        <f t="shared" si="79"/>
        <v>0</v>
      </c>
      <c r="GM70">
        <f>ROUND(O70+X70+Y70,2)+GX70</f>
        <v>731.73</v>
      </c>
      <c r="GN70">
        <f>IF(OR(BI70=0,BI70=1),ROUND(O70+X70+Y70,2),0)</f>
        <v>731.73</v>
      </c>
      <c r="GO70">
        <f>IF(BI70=2,ROUND(O70+X70+Y70,2),0)</f>
        <v>0</v>
      </c>
      <c r="GP70">
        <f>IF(BI70=4,ROUND(O70+X70+Y70,2)+GX70,0)</f>
        <v>0</v>
      </c>
      <c r="GR70">
        <v>0</v>
      </c>
      <c r="GS70">
        <v>3</v>
      </c>
      <c r="GT70">
        <v>0</v>
      </c>
      <c r="GU70" t="s">
        <v>3</v>
      </c>
      <c r="GV70">
        <f t="shared" si="80"/>
        <v>0</v>
      </c>
      <c r="GW70">
        <v>1</v>
      </c>
      <c r="GX70">
        <f t="shared" si="81"/>
        <v>0</v>
      </c>
      <c r="HA70">
        <v>0</v>
      </c>
      <c r="HB70">
        <v>0</v>
      </c>
      <c r="HC70">
        <f t="shared" si="82"/>
        <v>0</v>
      </c>
      <c r="IK70">
        <v>0</v>
      </c>
    </row>
    <row r="71" spans="1:245" x14ac:dyDescent="0.2">
      <c r="A71">
        <v>17</v>
      </c>
      <c r="B71">
        <v>1</v>
      </c>
      <c r="C71">
        <f>ROW(SmtRes!A117)</f>
        <v>117</v>
      </c>
      <c r="D71">
        <f>ROW(EtalonRes!A114)</f>
        <v>114</v>
      </c>
      <c r="E71" t="s">
        <v>219</v>
      </c>
      <c r="F71" t="s">
        <v>220</v>
      </c>
      <c r="G71" t="s">
        <v>221</v>
      </c>
      <c r="H71" t="s">
        <v>14</v>
      </c>
      <c r="I71">
        <f>ROUND(206/100,9)</f>
        <v>2.06</v>
      </c>
      <c r="J71">
        <v>0</v>
      </c>
      <c r="O71">
        <f t="shared" si="53"/>
        <v>68304.710000000006</v>
      </c>
      <c r="P71">
        <f t="shared" si="54"/>
        <v>324.79000000000002</v>
      </c>
      <c r="Q71">
        <f t="shared" si="55"/>
        <v>502.76</v>
      </c>
      <c r="R71">
        <f t="shared" si="56"/>
        <v>207.3</v>
      </c>
      <c r="S71">
        <f t="shared" si="57"/>
        <v>67477.16</v>
      </c>
      <c r="T71">
        <f t="shared" si="58"/>
        <v>0</v>
      </c>
      <c r="U71">
        <f t="shared" si="59"/>
        <v>279.87721349999998</v>
      </c>
      <c r="V71">
        <f t="shared" si="60"/>
        <v>0</v>
      </c>
      <c r="W71">
        <f t="shared" si="61"/>
        <v>0</v>
      </c>
      <c r="X71">
        <f t="shared" si="62"/>
        <v>54656.5</v>
      </c>
      <c r="Y71">
        <f t="shared" si="63"/>
        <v>27665.64</v>
      </c>
      <c r="AA71">
        <v>44962055</v>
      </c>
      <c r="AB71">
        <f t="shared" si="64"/>
        <v>1677.0885000000001</v>
      </c>
      <c r="AC71">
        <f t="shared" si="51"/>
        <v>83.42</v>
      </c>
      <c r="AD71">
        <f>ROUND(((ET71*1.25)),6)</f>
        <v>27.15</v>
      </c>
      <c r="AE71">
        <f>ROUND(((EU71*1.25)),6)</f>
        <v>4.8125</v>
      </c>
      <c r="AF71">
        <f>ROUND(((EV71*1.15)),6)</f>
        <v>1566.5184999999999</v>
      </c>
      <c r="AG71">
        <f t="shared" si="65"/>
        <v>0</v>
      </c>
      <c r="AH71">
        <f>((EW71*1.15))</f>
        <v>132.54900000000001</v>
      </c>
      <c r="AI71">
        <f>((EX71*1.25))</f>
        <v>0</v>
      </c>
      <c r="AJ71">
        <f t="shared" si="66"/>
        <v>0</v>
      </c>
      <c r="AK71">
        <v>1467.33</v>
      </c>
      <c r="AL71">
        <v>83.42</v>
      </c>
      <c r="AM71">
        <v>21.72</v>
      </c>
      <c r="AN71">
        <v>3.85</v>
      </c>
      <c r="AO71">
        <v>1362.19</v>
      </c>
      <c r="AP71">
        <v>0</v>
      </c>
      <c r="AQ71">
        <v>115.26</v>
      </c>
      <c r="AR71">
        <v>0</v>
      </c>
      <c r="AS71">
        <v>0</v>
      </c>
      <c r="AT71">
        <v>81</v>
      </c>
      <c r="AU71">
        <v>41</v>
      </c>
      <c r="AV71">
        <v>1.0249999999999999</v>
      </c>
      <c r="AW71">
        <v>1</v>
      </c>
      <c r="AZ71">
        <v>1</v>
      </c>
      <c r="BA71">
        <v>20.399999999999999</v>
      </c>
      <c r="BB71">
        <v>8.77</v>
      </c>
      <c r="BC71">
        <v>1.89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222</v>
      </c>
      <c r="BM71">
        <v>126</v>
      </c>
      <c r="BN71">
        <v>0</v>
      </c>
      <c r="BO71" t="s">
        <v>220</v>
      </c>
      <c r="BP71">
        <v>1</v>
      </c>
      <c r="BQ71">
        <v>30</v>
      </c>
      <c r="BR71">
        <v>0</v>
      </c>
      <c r="BS71">
        <v>20.399999999999999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81</v>
      </c>
      <c r="CA71">
        <v>41</v>
      </c>
      <c r="CE71">
        <v>0</v>
      </c>
      <c r="CF71">
        <v>0</v>
      </c>
      <c r="CG71">
        <v>0</v>
      </c>
      <c r="CM71">
        <v>0</v>
      </c>
      <c r="CN71" t="s">
        <v>16</v>
      </c>
      <c r="CO71">
        <v>0</v>
      </c>
      <c r="CP71">
        <f t="shared" si="67"/>
        <v>68304.710000000006</v>
      </c>
      <c r="CQ71">
        <f t="shared" si="68"/>
        <v>157.66380000000001</v>
      </c>
      <c r="CR71">
        <f t="shared" si="69"/>
        <v>244.05813749999996</v>
      </c>
      <c r="CS71">
        <f t="shared" si="70"/>
        <v>100.62937499999998</v>
      </c>
      <c r="CT71">
        <f t="shared" si="71"/>
        <v>32755.901834999993</v>
      </c>
      <c r="CU71">
        <f t="shared" si="72"/>
        <v>0</v>
      </c>
      <c r="CV71">
        <f t="shared" si="73"/>
        <v>135.86272499999998</v>
      </c>
      <c r="CW71">
        <f t="shared" si="74"/>
        <v>0</v>
      </c>
      <c r="CX71">
        <f t="shared" si="75"/>
        <v>0</v>
      </c>
      <c r="CY71">
        <f t="shared" si="76"/>
        <v>54656.499600000003</v>
      </c>
      <c r="CZ71">
        <f t="shared" si="77"/>
        <v>27665.635600000001</v>
      </c>
      <c r="DC71" t="s">
        <v>3</v>
      </c>
      <c r="DD71" t="s">
        <v>3</v>
      </c>
      <c r="DE71" t="s">
        <v>17</v>
      </c>
      <c r="DF71" t="s">
        <v>17</v>
      </c>
      <c r="DG71" t="s">
        <v>18</v>
      </c>
      <c r="DH71" t="s">
        <v>3</v>
      </c>
      <c r="DI71" t="s">
        <v>18</v>
      </c>
      <c r="DJ71" t="s">
        <v>17</v>
      </c>
      <c r="DK71" t="s">
        <v>3</v>
      </c>
      <c r="DL71" t="s">
        <v>3</v>
      </c>
      <c r="DM71" t="s">
        <v>3</v>
      </c>
      <c r="DN71">
        <v>100</v>
      </c>
      <c r="DO71">
        <v>64</v>
      </c>
      <c r="DP71">
        <v>1.0249999999999999</v>
      </c>
      <c r="DQ71">
        <v>1</v>
      </c>
      <c r="DU71">
        <v>1005</v>
      </c>
      <c r="DV71" t="s">
        <v>14</v>
      </c>
      <c r="DW71" t="s">
        <v>14</v>
      </c>
      <c r="DX71">
        <v>100</v>
      </c>
      <c r="EE71">
        <v>41867574</v>
      </c>
      <c r="EF71">
        <v>30</v>
      </c>
      <c r="EG71" t="s">
        <v>19</v>
      </c>
      <c r="EH71">
        <v>0</v>
      </c>
      <c r="EI71" t="s">
        <v>3</v>
      </c>
      <c r="EJ71">
        <v>1</v>
      </c>
      <c r="EK71">
        <v>126</v>
      </c>
      <c r="EL71" t="s">
        <v>223</v>
      </c>
      <c r="EM71" t="s">
        <v>224</v>
      </c>
      <c r="EO71" t="s">
        <v>22</v>
      </c>
      <c r="EQ71">
        <v>0</v>
      </c>
      <c r="ER71">
        <v>1467.33</v>
      </c>
      <c r="ES71">
        <v>83.42</v>
      </c>
      <c r="ET71">
        <v>21.72</v>
      </c>
      <c r="EU71">
        <v>3.85</v>
      </c>
      <c r="EV71">
        <v>1362.19</v>
      </c>
      <c r="EW71">
        <v>115.26</v>
      </c>
      <c r="EX71">
        <v>0</v>
      </c>
      <c r="EY71">
        <v>0</v>
      </c>
      <c r="FQ71">
        <v>0</v>
      </c>
      <c r="FR71">
        <f t="shared" si="78"/>
        <v>0</v>
      </c>
      <c r="FS71">
        <v>0</v>
      </c>
      <c r="FX71">
        <v>100</v>
      </c>
      <c r="FY71">
        <v>64</v>
      </c>
      <c r="GA71" t="s">
        <v>3</v>
      </c>
      <c r="GD71">
        <v>0</v>
      </c>
      <c r="GF71">
        <v>-876747052</v>
      </c>
      <c r="GG71">
        <v>2</v>
      </c>
      <c r="GH71">
        <v>1</v>
      </c>
      <c r="GI71">
        <v>2</v>
      </c>
      <c r="GJ71">
        <v>0</v>
      </c>
      <c r="GK71">
        <f>ROUND(R71*(R12)/100,2)</f>
        <v>325.45999999999998</v>
      </c>
      <c r="GL71">
        <f t="shared" si="79"/>
        <v>0</v>
      </c>
      <c r="GM71">
        <f>ROUND(O71+X71+Y71+GK71,2)+GX71</f>
        <v>150952.31</v>
      </c>
      <c r="GN71">
        <f>IF(OR(BI71=0,BI71=1),ROUND(O71+X71+Y71+GK71,2),0)</f>
        <v>150952.31</v>
      </c>
      <c r="GO71">
        <f>IF(BI71=2,ROUND(O71+X71+Y71+GK71,2),0)</f>
        <v>0</v>
      </c>
      <c r="GP71">
        <f>IF(BI71=4,ROUND(O71+X71+Y71+GK71,2)+GX71,0)</f>
        <v>0</v>
      </c>
      <c r="GR71">
        <v>0</v>
      </c>
      <c r="GS71">
        <v>3</v>
      </c>
      <c r="GT71">
        <v>0</v>
      </c>
      <c r="GU71" t="s">
        <v>3</v>
      </c>
      <c r="GV71">
        <f t="shared" si="80"/>
        <v>0</v>
      </c>
      <c r="GW71">
        <v>1</v>
      </c>
      <c r="GX71">
        <f t="shared" si="81"/>
        <v>0</v>
      </c>
      <c r="HA71">
        <v>0</v>
      </c>
      <c r="HB71">
        <v>0</v>
      </c>
      <c r="HC71">
        <f t="shared" si="82"/>
        <v>0</v>
      </c>
      <c r="IK71">
        <v>0</v>
      </c>
    </row>
    <row r="72" spans="1:245" x14ac:dyDescent="0.2">
      <c r="A72">
        <v>18</v>
      </c>
      <c r="B72">
        <v>1</v>
      </c>
      <c r="C72">
        <v>116</v>
      </c>
      <c r="E72" t="s">
        <v>225</v>
      </c>
      <c r="F72" t="s">
        <v>206</v>
      </c>
      <c r="G72" t="s">
        <v>207</v>
      </c>
      <c r="H72" t="s">
        <v>77</v>
      </c>
      <c r="I72">
        <f>I71*J72</f>
        <v>0.57679999999999998</v>
      </c>
      <c r="J72">
        <v>0.27999999999999997</v>
      </c>
      <c r="O72">
        <f t="shared" si="53"/>
        <v>14993.65</v>
      </c>
      <c r="P72">
        <f t="shared" si="54"/>
        <v>14993.65</v>
      </c>
      <c r="Q72">
        <f t="shared" si="55"/>
        <v>0</v>
      </c>
      <c r="R72">
        <f t="shared" si="56"/>
        <v>0</v>
      </c>
      <c r="S72">
        <f t="shared" si="57"/>
        <v>0</v>
      </c>
      <c r="T72">
        <f t="shared" si="58"/>
        <v>0</v>
      </c>
      <c r="U72">
        <f t="shared" si="59"/>
        <v>0</v>
      </c>
      <c r="V72">
        <f t="shared" si="60"/>
        <v>0</v>
      </c>
      <c r="W72">
        <f t="shared" si="61"/>
        <v>0</v>
      </c>
      <c r="X72">
        <f t="shared" si="62"/>
        <v>0</v>
      </c>
      <c r="Y72">
        <f t="shared" si="63"/>
        <v>0</v>
      </c>
      <c r="AA72">
        <v>44962055</v>
      </c>
      <c r="AB72">
        <f t="shared" si="64"/>
        <v>27362.67</v>
      </c>
      <c r="AC72">
        <f t="shared" si="51"/>
        <v>27362.67</v>
      </c>
      <c r="AD72">
        <f t="shared" ref="AD72:AF74" si="87">ROUND((ET72),6)</f>
        <v>0</v>
      </c>
      <c r="AE72">
        <f t="shared" si="87"/>
        <v>0</v>
      </c>
      <c r="AF72">
        <f t="shared" si="87"/>
        <v>0</v>
      </c>
      <c r="AG72">
        <f t="shared" si="65"/>
        <v>0</v>
      </c>
      <c r="AH72">
        <f t="shared" ref="AH72:AI74" si="88">(EW72)</f>
        <v>0</v>
      </c>
      <c r="AI72">
        <f t="shared" si="88"/>
        <v>0</v>
      </c>
      <c r="AJ72">
        <f t="shared" si="66"/>
        <v>0</v>
      </c>
      <c r="AK72">
        <v>27362.67</v>
      </c>
      <c r="AL72">
        <v>27362.67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1</v>
      </c>
      <c r="AZ72">
        <v>1</v>
      </c>
      <c r="BA72">
        <v>1</v>
      </c>
      <c r="BB72">
        <v>1</v>
      </c>
      <c r="BC72">
        <v>0.95</v>
      </c>
      <c r="BD72" t="s">
        <v>3</v>
      </c>
      <c r="BE72" t="s">
        <v>3</v>
      </c>
      <c r="BF72" t="s">
        <v>3</v>
      </c>
      <c r="BG72" t="s">
        <v>3</v>
      </c>
      <c r="BH72">
        <v>3</v>
      </c>
      <c r="BI72">
        <v>1</v>
      </c>
      <c r="BJ72" t="s">
        <v>208</v>
      </c>
      <c r="BM72">
        <v>126</v>
      </c>
      <c r="BN72">
        <v>0</v>
      </c>
      <c r="BO72" t="s">
        <v>206</v>
      </c>
      <c r="BP72">
        <v>1</v>
      </c>
      <c r="BQ72">
        <v>30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0</v>
      </c>
      <c r="CA72">
        <v>0</v>
      </c>
      <c r="CE72">
        <v>0</v>
      </c>
      <c r="CF72">
        <v>0</v>
      </c>
      <c r="CG72">
        <v>0</v>
      </c>
      <c r="CM72">
        <v>0</v>
      </c>
      <c r="CN72" t="s">
        <v>3</v>
      </c>
      <c r="CO72">
        <v>0</v>
      </c>
      <c r="CP72">
        <f t="shared" si="67"/>
        <v>14993.65</v>
      </c>
      <c r="CQ72">
        <f t="shared" si="68"/>
        <v>25994.536499999998</v>
      </c>
      <c r="CR72">
        <f t="shared" si="69"/>
        <v>0</v>
      </c>
      <c r="CS72">
        <f t="shared" si="70"/>
        <v>0</v>
      </c>
      <c r="CT72">
        <f t="shared" si="71"/>
        <v>0</v>
      </c>
      <c r="CU72">
        <f t="shared" si="72"/>
        <v>0</v>
      </c>
      <c r="CV72">
        <f t="shared" si="73"/>
        <v>0</v>
      </c>
      <c r="CW72">
        <f t="shared" si="74"/>
        <v>0</v>
      </c>
      <c r="CX72">
        <f t="shared" si="75"/>
        <v>0</v>
      </c>
      <c r="CY72">
        <f t="shared" si="76"/>
        <v>0</v>
      </c>
      <c r="CZ72">
        <f t="shared" si="77"/>
        <v>0</v>
      </c>
      <c r="DC72" t="s">
        <v>3</v>
      </c>
      <c r="DD72" t="s">
        <v>3</v>
      </c>
      <c r="DE72" t="s">
        <v>3</v>
      </c>
      <c r="DF72" t="s">
        <v>3</v>
      </c>
      <c r="DG72" t="s">
        <v>3</v>
      </c>
      <c r="DH72" t="s">
        <v>3</v>
      </c>
      <c r="DI72" t="s">
        <v>3</v>
      </c>
      <c r="DJ72" t="s">
        <v>3</v>
      </c>
      <c r="DK72" t="s">
        <v>3</v>
      </c>
      <c r="DL72" t="s">
        <v>3</v>
      </c>
      <c r="DM72" t="s">
        <v>3</v>
      </c>
      <c r="DN72">
        <v>100</v>
      </c>
      <c r="DO72">
        <v>64</v>
      </c>
      <c r="DP72">
        <v>1.0249999999999999</v>
      </c>
      <c r="DQ72">
        <v>1</v>
      </c>
      <c r="DU72">
        <v>1009</v>
      </c>
      <c r="DV72" t="s">
        <v>77</v>
      </c>
      <c r="DW72" t="s">
        <v>77</v>
      </c>
      <c r="DX72">
        <v>1000</v>
      </c>
      <c r="EE72">
        <v>41867574</v>
      </c>
      <c r="EF72">
        <v>30</v>
      </c>
      <c r="EG72" t="s">
        <v>19</v>
      </c>
      <c r="EH72">
        <v>0</v>
      </c>
      <c r="EI72" t="s">
        <v>3</v>
      </c>
      <c r="EJ72">
        <v>1</v>
      </c>
      <c r="EK72">
        <v>126</v>
      </c>
      <c r="EL72" t="s">
        <v>223</v>
      </c>
      <c r="EM72" t="s">
        <v>224</v>
      </c>
      <c r="EO72" t="s">
        <v>3</v>
      </c>
      <c r="EQ72">
        <v>0</v>
      </c>
      <c r="ER72">
        <v>27362.67</v>
      </c>
      <c r="ES72">
        <v>27362.67</v>
      </c>
      <c r="ET72">
        <v>0</v>
      </c>
      <c r="EU72">
        <v>0</v>
      </c>
      <c r="EV72">
        <v>0</v>
      </c>
      <c r="EW72">
        <v>0</v>
      </c>
      <c r="EX72">
        <v>0</v>
      </c>
      <c r="FQ72">
        <v>0</v>
      </c>
      <c r="FR72">
        <f t="shared" si="78"/>
        <v>0</v>
      </c>
      <c r="FS72">
        <v>0</v>
      </c>
      <c r="FX72">
        <v>100</v>
      </c>
      <c r="FY72">
        <v>64</v>
      </c>
      <c r="GA72" t="s">
        <v>3</v>
      </c>
      <c r="GD72">
        <v>1</v>
      </c>
      <c r="GF72">
        <v>1389983172</v>
      </c>
      <c r="GG72">
        <v>2</v>
      </c>
      <c r="GH72">
        <v>1</v>
      </c>
      <c r="GI72">
        <v>2</v>
      </c>
      <c r="GJ72">
        <v>0</v>
      </c>
      <c r="GK72">
        <v>0</v>
      </c>
      <c r="GL72">
        <f t="shared" si="79"/>
        <v>0</v>
      </c>
      <c r="GM72">
        <f>ROUND(O72+X72+Y72,2)+GX72</f>
        <v>14993.65</v>
      </c>
      <c r="GN72">
        <f>IF(OR(BI72=0,BI72=1),ROUND(O72+X72+Y72,2),0)</f>
        <v>14993.65</v>
      </c>
      <c r="GO72">
        <f>IF(BI72=2,ROUND(O72+X72+Y72,2),0)</f>
        <v>0</v>
      </c>
      <c r="GP72">
        <f>IF(BI72=4,ROUND(O72+X72+Y72,2)+GX72,0)</f>
        <v>0</v>
      </c>
      <c r="GR72">
        <v>0</v>
      </c>
      <c r="GS72">
        <v>3</v>
      </c>
      <c r="GT72">
        <v>0</v>
      </c>
      <c r="GU72" t="s">
        <v>3</v>
      </c>
      <c r="GV72">
        <f t="shared" si="80"/>
        <v>0</v>
      </c>
      <c r="GW72">
        <v>1</v>
      </c>
      <c r="GX72">
        <f t="shared" si="81"/>
        <v>0</v>
      </c>
      <c r="HA72">
        <v>0</v>
      </c>
      <c r="HB72">
        <v>0</v>
      </c>
      <c r="HC72">
        <f t="shared" si="82"/>
        <v>0</v>
      </c>
      <c r="IK72">
        <v>0</v>
      </c>
    </row>
    <row r="73" spans="1:245" x14ac:dyDescent="0.2">
      <c r="A73">
        <v>18</v>
      </c>
      <c r="B73">
        <v>1</v>
      </c>
      <c r="C73">
        <v>117</v>
      </c>
      <c r="E73" t="s">
        <v>226</v>
      </c>
      <c r="F73" t="s">
        <v>227</v>
      </c>
      <c r="G73" t="s">
        <v>228</v>
      </c>
      <c r="H73" t="s">
        <v>77</v>
      </c>
      <c r="I73">
        <f>I71*J73</f>
        <v>0.77249999999999996</v>
      </c>
      <c r="J73">
        <v>0.375</v>
      </c>
      <c r="O73">
        <f t="shared" si="53"/>
        <v>11470.98</v>
      </c>
      <c r="P73">
        <f t="shared" si="54"/>
        <v>11470.98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44962055</v>
      </c>
      <c r="AB73">
        <f t="shared" si="64"/>
        <v>3374.81</v>
      </c>
      <c r="AC73">
        <f t="shared" si="51"/>
        <v>3374.81</v>
      </c>
      <c r="AD73">
        <f t="shared" si="87"/>
        <v>0</v>
      </c>
      <c r="AE73">
        <f t="shared" si="87"/>
        <v>0</v>
      </c>
      <c r="AF73">
        <f t="shared" si="87"/>
        <v>0</v>
      </c>
      <c r="AG73">
        <f t="shared" si="65"/>
        <v>0</v>
      </c>
      <c r="AH73">
        <f t="shared" si="88"/>
        <v>0</v>
      </c>
      <c r="AI73">
        <f t="shared" si="88"/>
        <v>0</v>
      </c>
      <c r="AJ73">
        <f t="shared" si="66"/>
        <v>0</v>
      </c>
      <c r="AK73">
        <v>3374.81</v>
      </c>
      <c r="AL73">
        <v>3374.81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4.4000000000000004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229</v>
      </c>
      <c r="BM73">
        <v>126</v>
      </c>
      <c r="BN73">
        <v>0</v>
      </c>
      <c r="BO73" t="s">
        <v>227</v>
      </c>
      <c r="BP73">
        <v>1</v>
      </c>
      <c r="BQ73">
        <v>30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E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67"/>
        <v>11470.98</v>
      </c>
      <c r="CQ73">
        <f t="shared" si="68"/>
        <v>14849.164000000001</v>
      </c>
      <c r="CR73">
        <f t="shared" si="69"/>
        <v>0</v>
      </c>
      <c r="CS73">
        <f t="shared" si="70"/>
        <v>0</v>
      </c>
      <c r="CT73">
        <f t="shared" si="71"/>
        <v>0</v>
      </c>
      <c r="CU73">
        <f t="shared" si="72"/>
        <v>0</v>
      </c>
      <c r="CV73">
        <f t="shared" si="73"/>
        <v>0</v>
      </c>
      <c r="CW73">
        <f t="shared" si="74"/>
        <v>0</v>
      </c>
      <c r="CX73">
        <f t="shared" si="75"/>
        <v>0</v>
      </c>
      <c r="CY73">
        <f t="shared" si="76"/>
        <v>0</v>
      </c>
      <c r="CZ73">
        <f t="shared" si="77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100</v>
      </c>
      <c r="DO73">
        <v>64</v>
      </c>
      <c r="DP73">
        <v>1.0249999999999999</v>
      </c>
      <c r="DQ73">
        <v>1</v>
      </c>
      <c r="DU73">
        <v>1009</v>
      </c>
      <c r="DV73" t="s">
        <v>77</v>
      </c>
      <c r="DW73" t="s">
        <v>77</v>
      </c>
      <c r="DX73">
        <v>1000</v>
      </c>
      <c r="EE73">
        <v>41867574</v>
      </c>
      <c r="EF73">
        <v>30</v>
      </c>
      <c r="EG73" t="s">
        <v>19</v>
      </c>
      <c r="EH73">
        <v>0</v>
      </c>
      <c r="EI73" t="s">
        <v>3</v>
      </c>
      <c r="EJ73">
        <v>1</v>
      </c>
      <c r="EK73">
        <v>126</v>
      </c>
      <c r="EL73" t="s">
        <v>223</v>
      </c>
      <c r="EM73" t="s">
        <v>224</v>
      </c>
      <c r="EO73" t="s">
        <v>3</v>
      </c>
      <c r="EQ73">
        <v>0</v>
      </c>
      <c r="ER73">
        <v>3374.81</v>
      </c>
      <c r="ES73">
        <v>3374.81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78"/>
        <v>0</v>
      </c>
      <c r="FS73">
        <v>0</v>
      </c>
      <c r="FX73">
        <v>100</v>
      </c>
      <c r="FY73">
        <v>64</v>
      </c>
      <c r="GA73" t="s">
        <v>3</v>
      </c>
      <c r="GD73">
        <v>1</v>
      </c>
      <c r="GF73">
        <v>1724304728</v>
      </c>
      <c r="GG73">
        <v>2</v>
      </c>
      <c r="GH73">
        <v>1</v>
      </c>
      <c r="GI73">
        <v>2</v>
      </c>
      <c r="GJ73">
        <v>0</v>
      </c>
      <c r="GK73">
        <v>0</v>
      </c>
      <c r="GL73">
        <f t="shared" si="79"/>
        <v>0</v>
      </c>
      <c r="GM73">
        <f>ROUND(O73+X73+Y73,2)+GX73</f>
        <v>11470.98</v>
      </c>
      <c r="GN73">
        <f>IF(OR(BI73=0,BI73=1),ROUND(O73+X73+Y73,2),0)</f>
        <v>11470.98</v>
      </c>
      <c r="GO73">
        <f>IF(BI73=2,ROUND(O73+X73+Y73,2),0)</f>
        <v>0</v>
      </c>
      <c r="GP73">
        <f>IF(BI73=4,ROUND(O73+X73+Y73,2)+GX73,0)</f>
        <v>0</v>
      </c>
      <c r="GR73">
        <v>0</v>
      </c>
      <c r="GS73">
        <v>3</v>
      </c>
      <c r="GT73">
        <v>0</v>
      </c>
      <c r="GU73" t="s">
        <v>3</v>
      </c>
      <c r="GV73">
        <f t="shared" si="80"/>
        <v>0</v>
      </c>
      <c r="GW73">
        <v>1</v>
      </c>
      <c r="GX73">
        <f t="shared" si="81"/>
        <v>0</v>
      </c>
      <c r="HA73">
        <v>0</v>
      </c>
      <c r="HB73">
        <v>0</v>
      </c>
      <c r="HC73">
        <f t="shared" si="82"/>
        <v>0</v>
      </c>
      <c r="IK73">
        <v>0</v>
      </c>
    </row>
    <row r="74" spans="1:245" x14ac:dyDescent="0.2">
      <c r="A74">
        <v>18</v>
      </c>
      <c r="B74">
        <v>1</v>
      </c>
      <c r="C74">
        <v>115</v>
      </c>
      <c r="E74" t="s">
        <v>230</v>
      </c>
      <c r="F74" t="s">
        <v>231</v>
      </c>
      <c r="G74" t="s">
        <v>232</v>
      </c>
      <c r="H74" t="s">
        <v>36</v>
      </c>
      <c r="I74">
        <f>I71*J74</f>
        <v>206</v>
      </c>
      <c r="J74">
        <v>100</v>
      </c>
      <c r="O74">
        <f t="shared" si="53"/>
        <v>46991.73</v>
      </c>
      <c r="P74">
        <f t="shared" si="54"/>
        <v>46991.73</v>
      </c>
      <c r="Q74">
        <f t="shared" si="55"/>
        <v>0</v>
      </c>
      <c r="R74">
        <f t="shared" si="56"/>
        <v>0</v>
      </c>
      <c r="S74">
        <f t="shared" si="57"/>
        <v>0</v>
      </c>
      <c r="T74">
        <f t="shared" si="58"/>
        <v>0</v>
      </c>
      <c r="U74">
        <f t="shared" si="59"/>
        <v>0</v>
      </c>
      <c r="V74">
        <f t="shared" si="60"/>
        <v>0</v>
      </c>
      <c r="W74">
        <f t="shared" si="61"/>
        <v>0</v>
      </c>
      <c r="X74">
        <f t="shared" si="62"/>
        <v>0</v>
      </c>
      <c r="Y74">
        <f t="shared" si="63"/>
        <v>0</v>
      </c>
      <c r="AA74">
        <v>44962055</v>
      </c>
      <c r="AB74">
        <f t="shared" si="64"/>
        <v>52.32</v>
      </c>
      <c r="AC74">
        <f t="shared" si="51"/>
        <v>52.32</v>
      </c>
      <c r="AD74">
        <f t="shared" si="87"/>
        <v>0</v>
      </c>
      <c r="AE74">
        <f t="shared" si="87"/>
        <v>0</v>
      </c>
      <c r="AF74">
        <f t="shared" si="87"/>
        <v>0</v>
      </c>
      <c r="AG74">
        <f t="shared" si="65"/>
        <v>0</v>
      </c>
      <c r="AH74">
        <f t="shared" si="88"/>
        <v>0</v>
      </c>
      <c r="AI74">
        <f t="shared" si="88"/>
        <v>0</v>
      </c>
      <c r="AJ74">
        <f t="shared" si="66"/>
        <v>0</v>
      </c>
      <c r="AK74">
        <v>52.32</v>
      </c>
      <c r="AL74">
        <v>52.32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4.3600000000000003</v>
      </c>
      <c r="BD74" t="s">
        <v>3</v>
      </c>
      <c r="BE74" t="s">
        <v>3</v>
      </c>
      <c r="BF74" t="s">
        <v>3</v>
      </c>
      <c r="BG74" t="s">
        <v>3</v>
      </c>
      <c r="BH74">
        <v>3</v>
      </c>
      <c r="BI74">
        <v>1</v>
      </c>
      <c r="BJ74" t="s">
        <v>233</v>
      </c>
      <c r="BM74">
        <v>126</v>
      </c>
      <c r="BN74">
        <v>0</v>
      </c>
      <c r="BO74" t="s">
        <v>231</v>
      </c>
      <c r="BP74">
        <v>1</v>
      </c>
      <c r="BQ74">
        <v>30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0</v>
      </c>
      <c r="CA74">
        <v>0</v>
      </c>
      <c r="CE74">
        <v>0</v>
      </c>
      <c r="CF74">
        <v>0</v>
      </c>
      <c r="CG74">
        <v>0</v>
      </c>
      <c r="CM74">
        <v>0</v>
      </c>
      <c r="CN74" t="s">
        <v>3</v>
      </c>
      <c r="CO74">
        <v>0</v>
      </c>
      <c r="CP74">
        <f t="shared" si="67"/>
        <v>46991.73</v>
      </c>
      <c r="CQ74">
        <f t="shared" si="68"/>
        <v>228.11520000000002</v>
      </c>
      <c r="CR74">
        <f t="shared" si="69"/>
        <v>0</v>
      </c>
      <c r="CS74">
        <f t="shared" si="70"/>
        <v>0</v>
      </c>
      <c r="CT74">
        <f t="shared" si="71"/>
        <v>0</v>
      </c>
      <c r="CU74">
        <f t="shared" si="72"/>
        <v>0</v>
      </c>
      <c r="CV74">
        <f t="shared" si="73"/>
        <v>0</v>
      </c>
      <c r="CW74">
        <f t="shared" si="74"/>
        <v>0</v>
      </c>
      <c r="CX74">
        <f t="shared" si="75"/>
        <v>0</v>
      </c>
      <c r="CY74">
        <f t="shared" si="76"/>
        <v>0</v>
      </c>
      <c r="CZ74">
        <f t="shared" si="77"/>
        <v>0</v>
      </c>
      <c r="DC74" t="s">
        <v>3</v>
      </c>
      <c r="DD74" t="s">
        <v>3</v>
      </c>
      <c r="DE74" t="s">
        <v>3</v>
      </c>
      <c r="DF74" t="s">
        <v>3</v>
      </c>
      <c r="DG74" t="s">
        <v>3</v>
      </c>
      <c r="DH74" t="s">
        <v>3</v>
      </c>
      <c r="DI74" t="s">
        <v>3</v>
      </c>
      <c r="DJ74" t="s">
        <v>3</v>
      </c>
      <c r="DK74" t="s">
        <v>3</v>
      </c>
      <c r="DL74" t="s">
        <v>3</v>
      </c>
      <c r="DM74" t="s">
        <v>3</v>
      </c>
      <c r="DN74">
        <v>100</v>
      </c>
      <c r="DO74">
        <v>64</v>
      </c>
      <c r="DP74">
        <v>1.0249999999999999</v>
      </c>
      <c r="DQ74">
        <v>1</v>
      </c>
      <c r="DU74">
        <v>1005</v>
      </c>
      <c r="DV74" t="s">
        <v>36</v>
      </c>
      <c r="DW74" t="s">
        <v>36</v>
      </c>
      <c r="DX74">
        <v>1</v>
      </c>
      <c r="EE74">
        <v>41867574</v>
      </c>
      <c r="EF74">
        <v>30</v>
      </c>
      <c r="EG74" t="s">
        <v>19</v>
      </c>
      <c r="EH74">
        <v>0</v>
      </c>
      <c r="EI74" t="s">
        <v>3</v>
      </c>
      <c r="EJ74">
        <v>1</v>
      </c>
      <c r="EK74">
        <v>126</v>
      </c>
      <c r="EL74" t="s">
        <v>223</v>
      </c>
      <c r="EM74" t="s">
        <v>224</v>
      </c>
      <c r="EO74" t="s">
        <v>3</v>
      </c>
      <c r="EQ74">
        <v>0</v>
      </c>
      <c r="ER74">
        <v>52.32</v>
      </c>
      <c r="ES74">
        <v>52.32</v>
      </c>
      <c r="ET74">
        <v>0</v>
      </c>
      <c r="EU74">
        <v>0</v>
      </c>
      <c r="EV74">
        <v>0</v>
      </c>
      <c r="EW74">
        <v>0</v>
      </c>
      <c r="EX74">
        <v>0</v>
      </c>
      <c r="FQ74">
        <v>0</v>
      </c>
      <c r="FR74">
        <f t="shared" si="78"/>
        <v>0</v>
      </c>
      <c r="FS74">
        <v>0</v>
      </c>
      <c r="FX74">
        <v>100</v>
      </c>
      <c r="FY74">
        <v>64</v>
      </c>
      <c r="GA74" t="s">
        <v>3</v>
      </c>
      <c r="GD74">
        <v>1</v>
      </c>
      <c r="GF74">
        <v>-829001260</v>
      </c>
      <c r="GG74">
        <v>2</v>
      </c>
      <c r="GH74">
        <v>1</v>
      </c>
      <c r="GI74">
        <v>2</v>
      </c>
      <c r="GJ74">
        <v>0</v>
      </c>
      <c r="GK74">
        <v>0</v>
      </c>
      <c r="GL74">
        <f t="shared" si="79"/>
        <v>0</v>
      </c>
      <c r="GM74">
        <f>ROUND(O74+X74+Y74,2)+GX74</f>
        <v>46991.73</v>
      </c>
      <c r="GN74">
        <f>IF(OR(BI74=0,BI74=1),ROUND(O74+X74+Y74,2),0)</f>
        <v>46991.73</v>
      </c>
      <c r="GO74">
        <f>IF(BI74=2,ROUND(O74+X74+Y74,2),0)</f>
        <v>0</v>
      </c>
      <c r="GP74">
        <f>IF(BI74=4,ROUND(O74+X74+Y74,2)+GX74,0)</f>
        <v>0</v>
      </c>
      <c r="GR74">
        <v>0</v>
      </c>
      <c r="GS74">
        <v>3</v>
      </c>
      <c r="GT74">
        <v>0</v>
      </c>
      <c r="GU74" t="s">
        <v>3</v>
      </c>
      <c r="GV74">
        <f t="shared" si="80"/>
        <v>0</v>
      </c>
      <c r="GW74">
        <v>1</v>
      </c>
      <c r="GX74">
        <f t="shared" si="81"/>
        <v>0</v>
      </c>
      <c r="HA74">
        <v>0</v>
      </c>
      <c r="HB74">
        <v>0</v>
      </c>
      <c r="HC74">
        <f t="shared" si="82"/>
        <v>0</v>
      </c>
      <c r="IK74">
        <v>0</v>
      </c>
    </row>
    <row r="75" spans="1:245" x14ac:dyDescent="0.2">
      <c r="A75">
        <v>17</v>
      </c>
      <c r="B75">
        <v>1</v>
      </c>
      <c r="C75">
        <f>ROW(SmtRes!A136)</f>
        <v>136</v>
      </c>
      <c r="D75">
        <f>ROW(EtalonRes!A133)</f>
        <v>133</v>
      </c>
      <c r="E75" t="s">
        <v>234</v>
      </c>
      <c r="F75" t="s">
        <v>235</v>
      </c>
      <c r="G75" t="s">
        <v>236</v>
      </c>
      <c r="H75" t="s">
        <v>237</v>
      </c>
      <c r="I75">
        <f>ROUND(25/100,9)</f>
        <v>0.25</v>
      </c>
      <c r="J75">
        <v>0</v>
      </c>
      <c r="O75">
        <f t="shared" si="53"/>
        <v>18304.09</v>
      </c>
      <c r="P75">
        <f t="shared" si="54"/>
        <v>1788.97</v>
      </c>
      <c r="Q75">
        <f t="shared" si="55"/>
        <v>417.76</v>
      </c>
      <c r="R75">
        <f t="shared" si="56"/>
        <v>255.17</v>
      </c>
      <c r="S75">
        <f t="shared" si="57"/>
        <v>16097.36</v>
      </c>
      <c r="T75">
        <f t="shared" si="58"/>
        <v>0</v>
      </c>
      <c r="U75">
        <f t="shared" si="59"/>
        <v>66.689319374999997</v>
      </c>
      <c r="V75">
        <f t="shared" si="60"/>
        <v>0</v>
      </c>
      <c r="W75">
        <f t="shared" si="61"/>
        <v>0</v>
      </c>
      <c r="X75">
        <f t="shared" si="62"/>
        <v>11751.07</v>
      </c>
      <c r="Y75">
        <f t="shared" si="63"/>
        <v>6599.92</v>
      </c>
      <c r="AA75">
        <v>44962055</v>
      </c>
      <c r="AB75">
        <f t="shared" si="64"/>
        <v>5484.5384999999997</v>
      </c>
      <c r="AC75">
        <f t="shared" si="51"/>
        <v>2286.2199999999998</v>
      </c>
      <c r="AD75">
        <f>ROUND(((ET75*1.25)),6)</f>
        <v>183.66249999999999</v>
      </c>
      <c r="AE75">
        <f>ROUND(((EU75*1.25)),6)</f>
        <v>47.787500000000001</v>
      </c>
      <c r="AF75">
        <f>ROUND(((EV75*1.15)),6)</f>
        <v>3014.6559999999999</v>
      </c>
      <c r="AG75">
        <f t="shared" si="65"/>
        <v>0</v>
      </c>
      <c r="AH75">
        <f>((EW75*1.15))</f>
        <v>254.7825</v>
      </c>
      <c r="AI75">
        <f>((EX75*1.25))</f>
        <v>0</v>
      </c>
      <c r="AJ75">
        <f t="shared" si="66"/>
        <v>0</v>
      </c>
      <c r="AK75">
        <v>5054.59</v>
      </c>
      <c r="AL75">
        <v>2286.2199999999998</v>
      </c>
      <c r="AM75">
        <v>146.93</v>
      </c>
      <c r="AN75">
        <v>38.229999999999997</v>
      </c>
      <c r="AO75">
        <v>2621.44</v>
      </c>
      <c r="AP75">
        <v>0</v>
      </c>
      <c r="AQ75">
        <v>221.55</v>
      </c>
      <c r="AR75">
        <v>0</v>
      </c>
      <c r="AS75">
        <v>0</v>
      </c>
      <c r="AT75">
        <v>73</v>
      </c>
      <c r="AU75">
        <v>41</v>
      </c>
      <c r="AV75">
        <v>1.0469999999999999</v>
      </c>
      <c r="AW75">
        <v>1</v>
      </c>
      <c r="AZ75">
        <v>1</v>
      </c>
      <c r="BA75">
        <v>20.399999999999999</v>
      </c>
      <c r="BB75">
        <v>8.69</v>
      </c>
      <c r="BC75">
        <v>3.13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238</v>
      </c>
      <c r="BM75">
        <v>1688</v>
      </c>
      <c r="BN75">
        <v>0</v>
      </c>
      <c r="BO75" t="s">
        <v>235</v>
      </c>
      <c r="BP75">
        <v>1</v>
      </c>
      <c r="BQ75">
        <v>30</v>
      </c>
      <c r="BR75">
        <v>0</v>
      </c>
      <c r="BS75">
        <v>20.399999999999999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73</v>
      </c>
      <c r="CA75">
        <v>41</v>
      </c>
      <c r="CE75">
        <v>0</v>
      </c>
      <c r="CF75">
        <v>0</v>
      </c>
      <c r="CG75">
        <v>0</v>
      </c>
      <c r="CM75">
        <v>0</v>
      </c>
      <c r="CN75" t="s">
        <v>16</v>
      </c>
      <c r="CO75">
        <v>0</v>
      </c>
      <c r="CP75">
        <f t="shared" si="67"/>
        <v>18304.09</v>
      </c>
      <c r="CQ75">
        <f t="shared" si="68"/>
        <v>7155.8685999999989</v>
      </c>
      <c r="CR75">
        <f t="shared" si="69"/>
        <v>1671.0403998749998</v>
      </c>
      <c r="CS75">
        <f t="shared" si="70"/>
        <v>1020.6836549999999</v>
      </c>
      <c r="CT75">
        <f t="shared" si="71"/>
        <v>64389.43457279999</v>
      </c>
      <c r="CU75">
        <f t="shared" si="72"/>
        <v>0</v>
      </c>
      <c r="CV75">
        <f t="shared" si="73"/>
        <v>266.75727749999999</v>
      </c>
      <c r="CW75">
        <f t="shared" si="74"/>
        <v>0</v>
      </c>
      <c r="CX75">
        <f t="shared" si="75"/>
        <v>0</v>
      </c>
      <c r="CY75">
        <f t="shared" si="76"/>
        <v>11751.0728</v>
      </c>
      <c r="CZ75">
        <f t="shared" si="77"/>
        <v>6599.9175999999998</v>
      </c>
      <c r="DC75" t="s">
        <v>3</v>
      </c>
      <c r="DD75" t="s">
        <v>3</v>
      </c>
      <c r="DE75" t="s">
        <v>17</v>
      </c>
      <c r="DF75" t="s">
        <v>17</v>
      </c>
      <c r="DG75" t="s">
        <v>18</v>
      </c>
      <c r="DH75" t="s">
        <v>3</v>
      </c>
      <c r="DI75" t="s">
        <v>18</v>
      </c>
      <c r="DJ75" t="s">
        <v>17</v>
      </c>
      <c r="DK75" t="s">
        <v>3</v>
      </c>
      <c r="DL75" t="s">
        <v>3</v>
      </c>
      <c r="DM75" t="s">
        <v>3</v>
      </c>
      <c r="DN75">
        <v>91</v>
      </c>
      <c r="DO75">
        <v>70</v>
      </c>
      <c r="DP75">
        <v>1.0469999999999999</v>
      </c>
      <c r="DQ75">
        <v>1</v>
      </c>
      <c r="DU75">
        <v>1013</v>
      </c>
      <c r="DV75" t="s">
        <v>237</v>
      </c>
      <c r="DW75" t="s">
        <v>237</v>
      </c>
      <c r="DX75">
        <v>1</v>
      </c>
      <c r="EE75">
        <v>41869136</v>
      </c>
      <c r="EF75">
        <v>30</v>
      </c>
      <c r="EG75" t="s">
        <v>19</v>
      </c>
      <c r="EH75">
        <v>0</v>
      </c>
      <c r="EI75" t="s">
        <v>3</v>
      </c>
      <c r="EJ75">
        <v>1</v>
      </c>
      <c r="EK75">
        <v>1688</v>
      </c>
      <c r="EL75" t="s">
        <v>239</v>
      </c>
      <c r="EM75" t="s">
        <v>240</v>
      </c>
      <c r="EO75" t="s">
        <v>22</v>
      </c>
      <c r="EQ75">
        <v>0</v>
      </c>
      <c r="ER75">
        <v>5054.59</v>
      </c>
      <c r="ES75">
        <v>2286.2199999999998</v>
      </c>
      <c r="ET75">
        <v>146.93</v>
      </c>
      <c r="EU75">
        <v>38.229999999999997</v>
      </c>
      <c r="EV75">
        <v>2621.44</v>
      </c>
      <c r="EW75">
        <v>221.55</v>
      </c>
      <c r="EX75">
        <v>0</v>
      </c>
      <c r="EY75">
        <v>0</v>
      </c>
      <c r="FQ75">
        <v>0</v>
      </c>
      <c r="FR75">
        <f t="shared" si="78"/>
        <v>0</v>
      </c>
      <c r="FS75">
        <v>0</v>
      </c>
      <c r="FX75">
        <v>91</v>
      </c>
      <c r="FY75">
        <v>70</v>
      </c>
      <c r="GA75" t="s">
        <v>3</v>
      </c>
      <c r="GD75">
        <v>0</v>
      </c>
      <c r="GF75">
        <v>1677396222</v>
      </c>
      <c r="GG75">
        <v>2</v>
      </c>
      <c r="GH75">
        <v>1</v>
      </c>
      <c r="GI75">
        <v>2</v>
      </c>
      <c r="GJ75">
        <v>0</v>
      </c>
      <c r="GK75">
        <f>ROUND(R75*(R12)/100,2)</f>
        <v>400.62</v>
      </c>
      <c r="GL75">
        <f t="shared" si="79"/>
        <v>0</v>
      </c>
      <c r="GM75">
        <f>ROUND(O75+X75+Y75+GK75,2)+GX75</f>
        <v>37055.699999999997</v>
      </c>
      <c r="GN75">
        <f>IF(OR(BI75=0,BI75=1),ROUND(O75+X75+Y75+GK75,2),0)</f>
        <v>37055.699999999997</v>
      </c>
      <c r="GO75">
        <f>IF(BI75=2,ROUND(O75+X75+Y75+GK75,2),0)</f>
        <v>0</v>
      </c>
      <c r="GP75">
        <f>IF(BI75=4,ROUND(O75+X75+Y75+GK75,2)+GX75,0)</f>
        <v>0</v>
      </c>
      <c r="GR75">
        <v>0</v>
      </c>
      <c r="GS75">
        <v>3</v>
      </c>
      <c r="GT75">
        <v>0</v>
      </c>
      <c r="GU75" t="s">
        <v>3</v>
      </c>
      <c r="GV75">
        <f t="shared" si="80"/>
        <v>0</v>
      </c>
      <c r="GW75">
        <v>1</v>
      </c>
      <c r="GX75">
        <f t="shared" si="81"/>
        <v>0</v>
      </c>
      <c r="HA75">
        <v>0</v>
      </c>
      <c r="HB75">
        <v>0</v>
      </c>
      <c r="HC75">
        <f t="shared" si="82"/>
        <v>0</v>
      </c>
      <c r="IK75">
        <v>0</v>
      </c>
    </row>
    <row r="76" spans="1:245" x14ac:dyDescent="0.2">
      <c r="A76">
        <v>18</v>
      </c>
      <c r="B76">
        <v>1</v>
      </c>
      <c r="C76">
        <v>136</v>
      </c>
      <c r="E76" t="s">
        <v>241</v>
      </c>
      <c r="F76" t="s">
        <v>242</v>
      </c>
      <c r="G76" t="s">
        <v>243</v>
      </c>
      <c r="H76" t="s">
        <v>26</v>
      </c>
      <c r="I76">
        <f>I75*J76</f>
        <v>66.75</v>
      </c>
      <c r="J76">
        <v>267</v>
      </c>
      <c r="O76">
        <f t="shared" si="53"/>
        <v>0</v>
      </c>
      <c r="P76">
        <f t="shared" si="54"/>
        <v>0</v>
      </c>
      <c r="Q76">
        <f t="shared" si="55"/>
        <v>0</v>
      </c>
      <c r="R76">
        <f t="shared" si="56"/>
        <v>0</v>
      </c>
      <c r="S76">
        <f t="shared" si="57"/>
        <v>0</v>
      </c>
      <c r="T76">
        <f t="shared" si="58"/>
        <v>0</v>
      </c>
      <c r="U76">
        <f t="shared" si="59"/>
        <v>0</v>
      </c>
      <c r="V76">
        <f t="shared" si="60"/>
        <v>0</v>
      </c>
      <c r="W76">
        <f t="shared" si="61"/>
        <v>0</v>
      </c>
      <c r="X76">
        <f t="shared" si="62"/>
        <v>0</v>
      </c>
      <c r="Y76">
        <f t="shared" si="63"/>
        <v>0</v>
      </c>
      <c r="AA76">
        <v>44962055</v>
      </c>
      <c r="AB76">
        <f t="shared" si="64"/>
        <v>0</v>
      </c>
      <c r="AC76">
        <f t="shared" si="51"/>
        <v>0</v>
      </c>
      <c r="AD76">
        <f t="shared" ref="AD76:AF80" si="89">ROUND((ET76),6)</f>
        <v>0</v>
      </c>
      <c r="AE76">
        <f t="shared" si="89"/>
        <v>0</v>
      </c>
      <c r="AF76">
        <f t="shared" si="89"/>
        <v>0</v>
      </c>
      <c r="AG76">
        <f t="shared" si="65"/>
        <v>0</v>
      </c>
      <c r="AH76">
        <f t="shared" ref="AH76:AI80" si="90">(EW76)</f>
        <v>0</v>
      </c>
      <c r="AI76">
        <f t="shared" si="90"/>
        <v>0</v>
      </c>
      <c r="AJ76">
        <f t="shared" si="66"/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1.0469999999999999</v>
      </c>
      <c r="AW76">
        <v>1</v>
      </c>
      <c r="AZ76">
        <v>1</v>
      </c>
      <c r="BA76">
        <v>1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3</v>
      </c>
      <c r="BI76">
        <v>1</v>
      </c>
      <c r="BJ76" t="s">
        <v>3</v>
      </c>
      <c r="BM76">
        <v>1688</v>
      </c>
      <c r="BN76">
        <v>0</v>
      </c>
      <c r="BO76" t="s">
        <v>3</v>
      </c>
      <c r="BP76">
        <v>0</v>
      </c>
      <c r="BQ76">
        <v>30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0</v>
      </c>
      <c r="CA76">
        <v>0</v>
      </c>
      <c r="CE76">
        <v>0</v>
      </c>
      <c r="CF76">
        <v>0</v>
      </c>
      <c r="CG76">
        <v>0</v>
      </c>
      <c r="CM76">
        <v>0</v>
      </c>
      <c r="CN76" t="s">
        <v>3</v>
      </c>
      <c r="CO76">
        <v>0</v>
      </c>
      <c r="CP76">
        <f t="shared" si="67"/>
        <v>0</v>
      </c>
      <c r="CQ76">
        <f t="shared" si="68"/>
        <v>0</v>
      </c>
      <c r="CR76">
        <f t="shared" si="69"/>
        <v>0</v>
      </c>
      <c r="CS76">
        <f t="shared" si="70"/>
        <v>0</v>
      </c>
      <c r="CT76">
        <f t="shared" si="71"/>
        <v>0</v>
      </c>
      <c r="CU76">
        <f t="shared" si="72"/>
        <v>0</v>
      </c>
      <c r="CV76">
        <f t="shared" si="73"/>
        <v>0</v>
      </c>
      <c r="CW76">
        <f t="shared" si="74"/>
        <v>0</v>
      </c>
      <c r="CX76">
        <f t="shared" si="75"/>
        <v>0</v>
      </c>
      <c r="CY76">
        <f t="shared" si="76"/>
        <v>0</v>
      </c>
      <c r="CZ76">
        <f t="shared" si="77"/>
        <v>0</v>
      </c>
      <c r="DC76" t="s">
        <v>3</v>
      </c>
      <c r="DD76" t="s">
        <v>3</v>
      </c>
      <c r="DE76" t="s">
        <v>3</v>
      </c>
      <c r="DF76" t="s">
        <v>3</v>
      </c>
      <c r="DG76" t="s">
        <v>3</v>
      </c>
      <c r="DH76" t="s">
        <v>3</v>
      </c>
      <c r="DI76" t="s">
        <v>3</v>
      </c>
      <c r="DJ76" t="s">
        <v>3</v>
      </c>
      <c r="DK76" t="s">
        <v>3</v>
      </c>
      <c r="DL76" t="s">
        <v>3</v>
      </c>
      <c r="DM76" t="s">
        <v>3</v>
      </c>
      <c r="DN76">
        <v>91</v>
      </c>
      <c r="DO76">
        <v>70</v>
      </c>
      <c r="DP76">
        <v>1.0469999999999999</v>
      </c>
      <c r="DQ76">
        <v>1</v>
      </c>
      <c r="DU76">
        <v>1003</v>
      </c>
      <c r="DV76" t="s">
        <v>26</v>
      </c>
      <c r="DW76" t="s">
        <v>26</v>
      </c>
      <c r="DX76">
        <v>1</v>
      </c>
      <c r="EE76">
        <v>41869136</v>
      </c>
      <c r="EF76">
        <v>30</v>
      </c>
      <c r="EG76" t="s">
        <v>19</v>
      </c>
      <c r="EH76">
        <v>0</v>
      </c>
      <c r="EI76" t="s">
        <v>3</v>
      </c>
      <c r="EJ76">
        <v>1</v>
      </c>
      <c r="EK76">
        <v>1688</v>
      </c>
      <c r="EL76" t="s">
        <v>239</v>
      </c>
      <c r="EM76" t="s">
        <v>240</v>
      </c>
      <c r="EO76" t="s">
        <v>3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FQ76">
        <v>0</v>
      </c>
      <c r="FR76">
        <f t="shared" si="78"/>
        <v>0</v>
      </c>
      <c r="FS76">
        <v>0</v>
      </c>
      <c r="FX76">
        <v>91</v>
      </c>
      <c r="FY76">
        <v>70</v>
      </c>
      <c r="GA76" t="s">
        <v>3</v>
      </c>
      <c r="GD76">
        <v>1</v>
      </c>
      <c r="GF76">
        <v>476297558</v>
      </c>
      <c r="GG76">
        <v>2</v>
      </c>
      <c r="GH76">
        <v>1</v>
      </c>
      <c r="GI76">
        <v>-2</v>
      </c>
      <c r="GJ76">
        <v>0</v>
      </c>
      <c r="GK76">
        <v>0</v>
      </c>
      <c r="GL76">
        <f t="shared" si="79"/>
        <v>0</v>
      </c>
      <c r="GM76">
        <f>ROUND(O76+X76+Y76,2)+GX76</f>
        <v>0</v>
      </c>
      <c r="GN76">
        <f>IF(OR(BI76=0,BI76=1),ROUND(O76+X76+Y76,2),0)</f>
        <v>0</v>
      </c>
      <c r="GO76">
        <f>IF(BI76=2,ROUND(O76+X76+Y76,2),0)</f>
        <v>0</v>
      </c>
      <c r="GP76">
        <f>IF(BI76=4,ROUND(O76+X76+Y76,2)+GX76,0)</f>
        <v>0</v>
      </c>
      <c r="GR76">
        <v>0</v>
      </c>
      <c r="GS76">
        <v>3</v>
      </c>
      <c r="GT76">
        <v>0</v>
      </c>
      <c r="GU76" t="s">
        <v>3</v>
      </c>
      <c r="GV76">
        <f t="shared" si="80"/>
        <v>0</v>
      </c>
      <c r="GW76">
        <v>1</v>
      </c>
      <c r="GX76">
        <f t="shared" si="81"/>
        <v>0</v>
      </c>
      <c r="HA76">
        <v>0</v>
      </c>
      <c r="HB76">
        <v>0</v>
      </c>
      <c r="HC76">
        <f t="shared" si="82"/>
        <v>0</v>
      </c>
      <c r="IK76">
        <v>0</v>
      </c>
    </row>
    <row r="77" spans="1:245" x14ac:dyDescent="0.2">
      <c r="A77">
        <v>18</v>
      </c>
      <c r="B77">
        <v>1</v>
      </c>
      <c r="C77">
        <v>134</v>
      </c>
      <c r="E77" t="s">
        <v>244</v>
      </c>
      <c r="F77" t="s">
        <v>245</v>
      </c>
      <c r="G77" t="s">
        <v>246</v>
      </c>
      <c r="H77" t="s">
        <v>26</v>
      </c>
      <c r="I77">
        <f>I75*J77</f>
        <v>101.75</v>
      </c>
      <c r="J77">
        <v>407</v>
      </c>
      <c r="O77">
        <f t="shared" si="53"/>
        <v>6623.84</v>
      </c>
      <c r="P77">
        <f t="shared" si="54"/>
        <v>6623.84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44962055</v>
      </c>
      <c r="AB77">
        <f t="shared" si="64"/>
        <v>28.06</v>
      </c>
      <c r="AC77">
        <f t="shared" si="51"/>
        <v>28.06</v>
      </c>
      <c r="AD77">
        <f t="shared" si="89"/>
        <v>0</v>
      </c>
      <c r="AE77">
        <f t="shared" si="89"/>
        <v>0</v>
      </c>
      <c r="AF77">
        <f t="shared" si="89"/>
        <v>0</v>
      </c>
      <c r="AG77">
        <f t="shared" si="65"/>
        <v>0</v>
      </c>
      <c r="AH77">
        <f t="shared" si="90"/>
        <v>0</v>
      </c>
      <c r="AI77">
        <f t="shared" si="90"/>
        <v>0</v>
      </c>
      <c r="AJ77">
        <f t="shared" si="66"/>
        <v>0</v>
      </c>
      <c r="AK77">
        <v>28.06</v>
      </c>
      <c r="AL77">
        <v>28.06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2.3199999999999998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247</v>
      </c>
      <c r="BM77">
        <v>1688</v>
      </c>
      <c r="BN77">
        <v>0</v>
      </c>
      <c r="BO77" t="s">
        <v>245</v>
      </c>
      <c r="BP77">
        <v>1</v>
      </c>
      <c r="BQ77">
        <v>30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E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67"/>
        <v>6623.84</v>
      </c>
      <c r="CQ77">
        <f t="shared" si="68"/>
        <v>65.099199999999996</v>
      </c>
      <c r="CR77">
        <f t="shared" si="69"/>
        <v>0</v>
      </c>
      <c r="CS77">
        <f t="shared" si="70"/>
        <v>0</v>
      </c>
      <c r="CT77">
        <f t="shared" si="71"/>
        <v>0</v>
      </c>
      <c r="CU77">
        <f t="shared" si="72"/>
        <v>0</v>
      </c>
      <c r="CV77">
        <f t="shared" si="73"/>
        <v>0</v>
      </c>
      <c r="CW77">
        <f t="shared" si="74"/>
        <v>0</v>
      </c>
      <c r="CX77">
        <f t="shared" si="75"/>
        <v>0</v>
      </c>
      <c r="CY77">
        <f t="shared" si="76"/>
        <v>0</v>
      </c>
      <c r="CZ77">
        <f t="shared" si="77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91</v>
      </c>
      <c r="DO77">
        <v>70</v>
      </c>
      <c r="DP77">
        <v>1.0469999999999999</v>
      </c>
      <c r="DQ77">
        <v>1</v>
      </c>
      <c r="DU77">
        <v>1003</v>
      </c>
      <c r="DV77" t="s">
        <v>26</v>
      </c>
      <c r="DW77" t="s">
        <v>26</v>
      </c>
      <c r="DX77">
        <v>1</v>
      </c>
      <c r="EE77">
        <v>41869136</v>
      </c>
      <c r="EF77">
        <v>30</v>
      </c>
      <c r="EG77" t="s">
        <v>19</v>
      </c>
      <c r="EH77">
        <v>0</v>
      </c>
      <c r="EI77" t="s">
        <v>3</v>
      </c>
      <c r="EJ77">
        <v>1</v>
      </c>
      <c r="EK77">
        <v>1688</v>
      </c>
      <c r="EL77" t="s">
        <v>239</v>
      </c>
      <c r="EM77" t="s">
        <v>240</v>
      </c>
      <c r="EO77" t="s">
        <v>3</v>
      </c>
      <c r="EQ77">
        <v>0</v>
      </c>
      <c r="ER77">
        <v>28.06</v>
      </c>
      <c r="ES77">
        <v>28.06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78"/>
        <v>0</v>
      </c>
      <c r="FS77">
        <v>0</v>
      </c>
      <c r="FX77">
        <v>91</v>
      </c>
      <c r="FY77">
        <v>70</v>
      </c>
      <c r="GA77" t="s">
        <v>3</v>
      </c>
      <c r="GD77">
        <v>1</v>
      </c>
      <c r="GF77">
        <v>-840677519</v>
      </c>
      <c r="GG77">
        <v>2</v>
      </c>
      <c r="GH77">
        <v>1</v>
      </c>
      <c r="GI77">
        <v>2</v>
      </c>
      <c r="GJ77">
        <v>0</v>
      </c>
      <c r="GK77">
        <v>0</v>
      </c>
      <c r="GL77">
        <f t="shared" si="79"/>
        <v>0</v>
      </c>
      <c r="GM77">
        <f>ROUND(O77+X77+Y77,2)+GX77</f>
        <v>6623.84</v>
      </c>
      <c r="GN77">
        <f>IF(OR(BI77=0,BI77=1),ROUND(O77+X77+Y77,2),0)</f>
        <v>6623.84</v>
      </c>
      <c r="GO77">
        <f>IF(BI77=2,ROUND(O77+X77+Y77,2),0)</f>
        <v>0</v>
      </c>
      <c r="GP77">
        <f>IF(BI77=4,ROUND(O77+X77+Y77,2)+GX77,0)</f>
        <v>0</v>
      </c>
      <c r="GR77">
        <v>0</v>
      </c>
      <c r="GS77">
        <v>3</v>
      </c>
      <c r="GT77">
        <v>0</v>
      </c>
      <c r="GU77" t="s">
        <v>3</v>
      </c>
      <c r="GV77">
        <f t="shared" si="80"/>
        <v>0</v>
      </c>
      <c r="GW77">
        <v>1</v>
      </c>
      <c r="GX77">
        <f t="shared" si="81"/>
        <v>0</v>
      </c>
      <c r="HA77">
        <v>0</v>
      </c>
      <c r="HB77">
        <v>0</v>
      </c>
      <c r="HC77">
        <f t="shared" si="82"/>
        <v>0</v>
      </c>
      <c r="IK77">
        <v>0</v>
      </c>
    </row>
    <row r="78" spans="1:245" x14ac:dyDescent="0.2">
      <c r="A78">
        <v>18</v>
      </c>
      <c r="B78">
        <v>1</v>
      </c>
      <c r="C78">
        <v>135</v>
      </c>
      <c r="E78" t="s">
        <v>248</v>
      </c>
      <c r="F78" t="s">
        <v>249</v>
      </c>
      <c r="G78" t="s">
        <v>250</v>
      </c>
      <c r="H78" t="s">
        <v>26</v>
      </c>
      <c r="I78">
        <f>I75*J78</f>
        <v>37.75</v>
      </c>
      <c r="J78">
        <v>151</v>
      </c>
      <c r="O78">
        <f t="shared" si="53"/>
        <v>2839.29</v>
      </c>
      <c r="P78">
        <f t="shared" si="54"/>
        <v>2839.29</v>
      </c>
      <c r="Q78">
        <f t="shared" si="55"/>
        <v>0</v>
      </c>
      <c r="R78">
        <f t="shared" si="56"/>
        <v>0</v>
      </c>
      <c r="S78">
        <f t="shared" si="57"/>
        <v>0</v>
      </c>
      <c r="T78">
        <f t="shared" si="58"/>
        <v>0</v>
      </c>
      <c r="U78">
        <f t="shared" si="59"/>
        <v>0</v>
      </c>
      <c r="V78">
        <f t="shared" si="60"/>
        <v>0</v>
      </c>
      <c r="W78">
        <f t="shared" si="61"/>
        <v>0</v>
      </c>
      <c r="X78">
        <f t="shared" si="62"/>
        <v>0</v>
      </c>
      <c r="Y78">
        <f t="shared" si="63"/>
        <v>0</v>
      </c>
      <c r="AA78">
        <v>44962055</v>
      </c>
      <c r="AB78">
        <f t="shared" si="64"/>
        <v>25.67</v>
      </c>
      <c r="AC78">
        <f t="shared" si="51"/>
        <v>25.67</v>
      </c>
      <c r="AD78">
        <f t="shared" si="89"/>
        <v>0</v>
      </c>
      <c r="AE78">
        <f t="shared" si="89"/>
        <v>0</v>
      </c>
      <c r="AF78">
        <f t="shared" si="89"/>
        <v>0</v>
      </c>
      <c r="AG78">
        <f t="shared" si="65"/>
        <v>0</v>
      </c>
      <c r="AH78">
        <f t="shared" si="90"/>
        <v>0</v>
      </c>
      <c r="AI78">
        <f t="shared" si="90"/>
        <v>0</v>
      </c>
      <c r="AJ78">
        <f t="shared" si="66"/>
        <v>0</v>
      </c>
      <c r="AK78">
        <v>25.67</v>
      </c>
      <c r="AL78">
        <v>25.67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2.93</v>
      </c>
      <c r="BD78" t="s">
        <v>3</v>
      </c>
      <c r="BE78" t="s">
        <v>3</v>
      </c>
      <c r="BF78" t="s">
        <v>3</v>
      </c>
      <c r="BG78" t="s">
        <v>3</v>
      </c>
      <c r="BH78">
        <v>3</v>
      </c>
      <c r="BI78">
        <v>1</v>
      </c>
      <c r="BJ78" t="s">
        <v>251</v>
      </c>
      <c r="BM78">
        <v>1688</v>
      </c>
      <c r="BN78">
        <v>0</v>
      </c>
      <c r="BO78" t="s">
        <v>249</v>
      </c>
      <c r="BP78">
        <v>1</v>
      </c>
      <c r="BQ78">
        <v>30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0</v>
      </c>
      <c r="CA78">
        <v>0</v>
      </c>
      <c r="CE78">
        <v>0</v>
      </c>
      <c r="CF78">
        <v>0</v>
      </c>
      <c r="CG78">
        <v>0</v>
      </c>
      <c r="CM78">
        <v>0</v>
      </c>
      <c r="CN78" t="s">
        <v>3</v>
      </c>
      <c r="CO78">
        <v>0</v>
      </c>
      <c r="CP78">
        <f t="shared" si="67"/>
        <v>2839.29</v>
      </c>
      <c r="CQ78">
        <f t="shared" si="68"/>
        <v>75.213100000000011</v>
      </c>
      <c r="CR78">
        <f t="shared" si="69"/>
        <v>0</v>
      </c>
      <c r="CS78">
        <f t="shared" si="70"/>
        <v>0</v>
      </c>
      <c r="CT78">
        <f t="shared" si="71"/>
        <v>0</v>
      </c>
      <c r="CU78">
        <f t="shared" si="72"/>
        <v>0</v>
      </c>
      <c r="CV78">
        <f t="shared" si="73"/>
        <v>0</v>
      </c>
      <c r="CW78">
        <f t="shared" si="74"/>
        <v>0</v>
      </c>
      <c r="CX78">
        <f t="shared" si="75"/>
        <v>0</v>
      </c>
      <c r="CY78">
        <f t="shared" si="76"/>
        <v>0</v>
      </c>
      <c r="CZ78">
        <f t="shared" si="77"/>
        <v>0</v>
      </c>
      <c r="DC78" t="s">
        <v>3</v>
      </c>
      <c r="DD78" t="s">
        <v>3</v>
      </c>
      <c r="DE78" t="s">
        <v>3</v>
      </c>
      <c r="DF78" t="s">
        <v>3</v>
      </c>
      <c r="DG78" t="s">
        <v>3</v>
      </c>
      <c r="DH78" t="s">
        <v>3</v>
      </c>
      <c r="DI78" t="s">
        <v>3</v>
      </c>
      <c r="DJ78" t="s">
        <v>3</v>
      </c>
      <c r="DK78" t="s">
        <v>3</v>
      </c>
      <c r="DL78" t="s">
        <v>3</v>
      </c>
      <c r="DM78" t="s">
        <v>3</v>
      </c>
      <c r="DN78">
        <v>91</v>
      </c>
      <c r="DO78">
        <v>70</v>
      </c>
      <c r="DP78">
        <v>1.0469999999999999</v>
      </c>
      <c r="DQ78">
        <v>1</v>
      </c>
      <c r="DU78">
        <v>1003</v>
      </c>
      <c r="DV78" t="s">
        <v>26</v>
      </c>
      <c r="DW78" t="s">
        <v>26</v>
      </c>
      <c r="DX78">
        <v>1</v>
      </c>
      <c r="EE78">
        <v>41869136</v>
      </c>
      <c r="EF78">
        <v>30</v>
      </c>
      <c r="EG78" t="s">
        <v>19</v>
      </c>
      <c r="EH78">
        <v>0</v>
      </c>
      <c r="EI78" t="s">
        <v>3</v>
      </c>
      <c r="EJ78">
        <v>1</v>
      </c>
      <c r="EK78">
        <v>1688</v>
      </c>
      <c r="EL78" t="s">
        <v>239</v>
      </c>
      <c r="EM78" t="s">
        <v>240</v>
      </c>
      <c r="EO78" t="s">
        <v>3</v>
      </c>
      <c r="EQ78">
        <v>0</v>
      </c>
      <c r="ER78">
        <v>25.67</v>
      </c>
      <c r="ES78">
        <v>25.67</v>
      </c>
      <c r="ET78">
        <v>0</v>
      </c>
      <c r="EU78">
        <v>0</v>
      </c>
      <c r="EV78">
        <v>0</v>
      </c>
      <c r="EW78">
        <v>0</v>
      </c>
      <c r="EX78">
        <v>0</v>
      </c>
      <c r="FQ78">
        <v>0</v>
      </c>
      <c r="FR78">
        <f t="shared" si="78"/>
        <v>0</v>
      </c>
      <c r="FS78">
        <v>0</v>
      </c>
      <c r="FX78">
        <v>91</v>
      </c>
      <c r="FY78">
        <v>70</v>
      </c>
      <c r="GA78" t="s">
        <v>3</v>
      </c>
      <c r="GD78">
        <v>1</v>
      </c>
      <c r="GF78">
        <v>521611865</v>
      </c>
      <c r="GG78">
        <v>2</v>
      </c>
      <c r="GH78">
        <v>1</v>
      </c>
      <c r="GI78">
        <v>2</v>
      </c>
      <c r="GJ78">
        <v>0</v>
      </c>
      <c r="GK78">
        <v>0</v>
      </c>
      <c r="GL78">
        <f t="shared" si="79"/>
        <v>0</v>
      </c>
      <c r="GM78">
        <f>ROUND(O78+X78+Y78,2)+GX78</f>
        <v>2839.29</v>
      </c>
      <c r="GN78">
        <f>IF(OR(BI78=0,BI78=1),ROUND(O78+X78+Y78,2),0)</f>
        <v>2839.29</v>
      </c>
      <c r="GO78">
        <f>IF(BI78=2,ROUND(O78+X78+Y78,2),0)</f>
        <v>0</v>
      </c>
      <c r="GP78">
        <f>IF(BI78=4,ROUND(O78+X78+Y78,2)+GX78,0)</f>
        <v>0</v>
      </c>
      <c r="GR78">
        <v>0</v>
      </c>
      <c r="GS78">
        <v>3</v>
      </c>
      <c r="GT78">
        <v>0</v>
      </c>
      <c r="GU78" t="s">
        <v>3</v>
      </c>
      <c r="GV78">
        <f t="shared" si="80"/>
        <v>0</v>
      </c>
      <c r="GW78">
        <v>1</v>
      </c>
      <c r="GX78">
        <f t="shared" si="81"/>
        <v>0</v>
      </c>
      <c r="HA78">
        <v>0</v>
      </c>
      <c r="HB78">
        <v>0</v>
      </c>
      <c r="HC78">
        <f t="shared" si="82"/>
        <v>0</v>
      </c>
      <c r="IK78">
        <v>0</v>
      </c>
    </row>
    <row r="79" spans="1:245" x14ac:dyDescent="0.2">
      <c r="A79">
        <v>18</v>
      </c>
      <c r="B79">
        <v>1</v>
      </c>
      <c r="C79">
        <v>130</v>
      </c>
      <c r="E79" t="s">
        <v>252</v>
      </c>
      <c r="F79" t="s">
        <v>253</v>
      </c>
      <c r="G79" t="s">
        <v>254</v>
      </c>
      <c r="H79" t="s">
        <v>36</v>
      </c>
      <c r="I79">
        <f>I75*J79</f>
        <v>131.5</v>
      </c>
      <c r="J79">
        <v>526</v>
      </c>
      <c r="O79">
        <f t="shared" si="53"/>
        <v>6749.42</v>
      </c>
      <c r="P79">
        <f t="shared" si="54"/>
        <v>6749.42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44962055</v>
      </c>
      <c r="AB79">
        <f t="shared" si="64"/>
        <v>34.68</v>
      </c>
      <c r="AC79">
        <f t="shared" si="51"/>
        <v>34.68</v>
      </c>
      <c r="AD79">
        <f t="shared" si="89"/>
        <v>0</v>
      </c>
      <c r="AE79">
        <f t="shared" si="89"/>
        <v>0</v>
      </c>
      <c r="AF79">
        <f t="shared" si="89"/>
        <v>0</v>
      </c>
      <c r="AG79">
        <f t="shared" si="65"/>
        <v>0</v>
      </c>
      <c r="AH79">
        <f t="shared" si="90"/>
        <v>0</v>
      </c>
      <c r="AI79">
        <f t="shared" si="90"/>
        <v>0</v>
      </c>
      <c r="AJ79">
        <f t="shared" si="66"/>
        <v>0</v>
      </c>
      <c r="AK79">
        <v>34.68</v>
      </c>
      <c r="AL79">
        <v>34.68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1.48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255</v>
      </c>
      <c r="BM79">
        <v>1688</v>
      </c>
      <c r="BN79">
        <v>0</v>
      </c>
      <c r="BO79" t="s">
        <v>253</v>
      </c>
      <c r="BP79">
        <v>1</v>
      </c>
      <c r="BQ79">
        <v>30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E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67"/>
        <v>6749.42</v>
      </c>
      <c r="CQ79">
        <f t="shared" si="68"/>
        <v>51.3264</v>
      </c>
      <c r="CR79">
        <f t="shared" si="69"/>
        <v>0</v>
      </c>
      <c r="CS79">
        <f t="shared" si="70"/>
        <v>0</v>
      </c>
      <c r="CT79">
        <f t="shared" si="71"/>
        <v>0</v>
      </c>
      <c r="CU79">
        <f t="shared" si="72"/>
        <v>0</v>
      </c>
      <c r="CV79">
        <f t="shared" si="73"/>
        <v>0</v>
      </c>
      <c r="CW79">
        <f t="shared" si="74"/>
        <v>0</v>
      </c>
      <c r="CX79">
        <f t="shared" si="75"/>
        <v>0</v>
      </c>
      <c r="CY79">
        <f t="shared" si="76"/>
        <v>0</v>
      </c>
      <c r="CZ79">
        <f t="shared" si="77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91</v>
      </c>
      <c r="DO79">
        <v>70</v>
      </c>
      <c r="DP79">
        <v>1.0469999999999999</v>
      </c>
      <c r="DQ79">
        <v>1</v>
      </c>
      <c r="DU79">
        <v>1005</v>
      </c>
      <c r="DV79" t="s">
        <v>36</v>
      </c>
      <c r="DW79" t="s">
        <v>36</v>
      </c>
      <c r="DX79">
        <v>1</v>
      </c>
      <c r="EE79">
        <v>41869136</v>
      </c>
      <c r="EF79">
        <v>30</v>
      </c>
      <c r="EG79" t="s">
        <v>19</v>
      </c>
      <c r="EH79">
        <v>0</v>
      </c>
      <c r="EI79" t="s">
        <v>3</v>
      </c>
      <c r="EJ79">
        <v>1</v>
      </c>
      <c r="EK79">
        <v>1688</v>
      </c>
      <c r="EL79" t="s">
        <v>239</v>
      </c>
      <c r="EM79" t="s">
        <v>240</v>
      </c>
      <c r="EO79" t="s">
        <v>3</v>
      </c>
      <c r="EQ79">
        <v>0</v>
      </c>
      <c r="ER79">
        <v>34.68</v>
      </c>
      <c r="ES79">
        <v>34.68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78"/>
        <v>0</v>
      </c>
      <c r="FS79">
        <v>0</v>
      </c>
      <c r="FX79">
        <v>91</v>
      </c>
      <c r="FY79">
        <v>70</v>
      </c>
      <c r="GA79" t="s">
        <v>3</v>
      </c>
      <c r="GD79">
        <v>1</v>
      </c>
      <c r="GF79">
        <v>-1164420920</v>
      </c>
      <c r="GG79">
        <v>2</v>
      </c>
      <c r="GH79">
        <v>1</v>
      </c>
      <c r="GI79">
        <v>2</v>
      </c>
      <c r="GJ79">
        <v>0</v>
      </c>
      <c r="GK79">
        <v>0</v>
      </c>
      <c r="GL79">
        <f t="shared" si="79"/>
        <v>0</v>
      </c>
      <c r="GM79">
        <f>ROUND(O79+X79+Y79,2)+GX79</f>
        <v>6749.42</v>
      </c>
      <c r="GN79">
        <f>IF(OR(BI79=0,BI79=1),ROUND(O79+X79+Y79,2),0)</f>
        <v>6749.42</v>
      </c>
      <c r="GO79">
        <f>IF(BI79=2,ROUND(O79+X79+Y79,2),0)</f>
        <v>0</v>
      </c>
      <c r="GP79">
        <f>IF(BI79=4,ROUND(O79+X79+Y79,2)+GX79,0)</f>
        <v>0</v>
      </c>
      <c r="GR79">
        <v>0</v>
      </c>
      <c r="GS79">
        <v>3</v>
      </c>
      <c r="GT79">
        <v>0</v>
      </c>
      <c r="GU79" t="s">
        <v>3</v>
      </c>
      <c r="GV79">
        <f t="shared" si="80"/>
        <v>0</v>
      </c>
      <c r="GW79">
        <v>1</v>
      </c>
      <c r="GX79">
        <f t="shared" si="81"/>
        <v>0</v>
      </c>
      <c r="HA79">
        <v>0</v>
      </c>
      <c r="HB79">
        <v>0</v>
      </c>
      <c r="HC79">
        <f t="shared" si="82"/>
        <v>0</v>
      </c>
      <c r="IK79">
        <v>0</v>
      </c>
    </row>
    <row r="80" spans="1:245" x14ac:dyDescent="0.2">
      <c r="A80">
        <v>18</v>
      </c>
      <c r="B80">
        <v>1</v>
      </c>
      <c r="C80">
        <v>131</v>
      </c>
      <c r="E80" t="s">
        <v>256</v>
      </c>
      <c r="F80" t="s">
        <v>257</v>
      </c>
      <c r="G80" t="s">
        <v>258</v>
      </c>
      <c r="H80" t="s">
        <v>140</v>
      </c>
      <c r="I80">
        <f>I75*J80</f>
        <v>2.5750000000000002</v>
      </c>
      <c r="J80">
        <v>10.3</v>
      </c>
      <c r="O80">
        <f t="shared" si="53"/>
        <v>8408.2800000000007</v>
      </c>
      <c r="P80">
        <f t="shared" si="54"/>
        <v>8408.2800000000007</v>
      </c>
      <c r="Q80">
        <f t="shared" si="55"/>
        <v>0</v>
      </c>
      <c r="R80">
        <f t="shared" si="56"/>
        <v>0</v>
      </c>
      <c r="S80">
        <f t="shared" si="57"/>
        <v>0</v>
      </c>
      <c r="T80">
        <f t="shared" si="58"/>
        <v>0</v>
      </c>
      <c r="U80">
        <f t="shared" si="59"/>
        <v>0</v>
      </c>
      <c r="V80">
        <f t="shared" si="60"/>
        <v>0</v>
      </c>
      <c r="W80">
        <f t="shared" si="61"/>
        <v>0</v>
      </c>
      <c r="X80">
        <f t="shared" si="62"/>
        <v>0</v>
      </c>
      <c r="Y80">
        <f t="shared" si="63"/>
        <v>0</v>
      </c>
      <c r="AA80">
        <v>44962055</v>
      </c>
      <c r="AB80">
        <f t="shared" si="64"/>
        <v>806.26</v>
      </c>
      <c r="AC80">
        <f t="shared" si="51"/>
        <v>806.26</v>
      </c>
      <c r="AD80">
        <f t="shared" si="89"/>
        <v>0</v>
      </c>
      <c r="AE80">
        <f t="shared" si="89"/>
        <v>0</v>
      </c>
      <c r="AF80">
        <f t="shared" si="89"/>
        <v>0</v>
      </c>
      <c r="AG80">
        <f t="shared" si="65"/>
        <v>0</v>
      </c>
      <c r="AH80">
        <f t="shared" si="90"/>
        <v>0</v>
      </c>
      <c r="AI80">
        <f t="shared" si="90"/>
        <v>0</v>
      </c>
      <c r="AJ80">
        <f t="shared" si="66"/>
        <v>0</v>
      </c>
      <c r="AK80">
        <v>806.26</v>
      </c>
      <c r="AL80">
        <v>806.26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4.05</v>
      </c>
      <c r="BD80" t="s">
        <v>3</v>
      </c>
      <c r="BE80" t="s">
        <v>3</v>
      </c>
      <c r="BF80" t="s">
        <v>3</v>
      </c>
      <c r="BG80" t="s">
        <v>3</v>
      </c>
      <c r="BH80">
        <v>3</v>
      </c>
      <c r="BI80">
        <v>1</v>
      </c>
      <c r="BJ80" t="s">
        <v>259</v>
      </c>
      <c r="BM80">
        <v>1688</v>
      </c>
      <c r="BN80">
        <v>0</v>
      </c>
      <c r="BO80" t="s">
        <v>257</v>
      </c>
      <c r="BP80">
        <v>1</v>
      </c>
      <c r="BQ80">
        <v>30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0</v>
      </c>
      <c r="CA80">
        <v>0</v>
      </c>
      <c r="CE80">
        <v>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 t="shared" si="67"/>
        <v>8408.2800000000007</v>
      </c>
      <c r="CQ80">
        <f t="shared" si="68"/>
        <v>3265.3529999999996</v>
      </c>
      <c r="CR80">
        <f t="shared" si="69"/>
        <v>0</v>
      </c>
      <c r="CS80">
        <f t="shared" si="70"/>
        <v>0</v>
      </c>
      <c r="CT80">
        <f t="shared" si="71"/>
        <v>0</v>
      </c>
      <c r="CU80">
        <f t="shared" si="72"/>
        <v>0</v>
      </c>
      <c r="CV80">
        <f t="shared" si="73"/>
        <v>0</v>
      </c>
      <c r="CW80">
        <f t="shared" si="74"/>
        <v>0</v>
      </c>
      <c r="CX80">
        <f t="shared" si="75"/>
        <v>0</v>
      </c>
      <c r="CY80">
        <f t="shared" si="76"/>
        <v>0</v>
      </c>
      <c r="CZ80">
        <f t="shared" si="77"/>
        <v>0</v>
      </c>
      <c r="DC80" t="s">
        <v>3</v>
      </c>
      <c r="DD80" t="s">
        <v>3</v>
      </c>
      <c r="DE80" t="s">
        <v>3</v>
      </c>
      <c r="DF80" t="s">
        <v>3</v>
      </c>
      <c r="DG80" t="s">
        <v>3</v>
      </c>
      <c r="DH80" t="s">
        <v>3</v>
      </c>
      <c r="DI80" t="s">
        <v>3</v>
      </c>
      <c r="DJ80" t="s">
        <v>3</v>
      </c>
      <c r="DK80" t="s">
        <v>3</v>
      </c>
      <c r="DL80" t="s">
        <v>3</v>
      </c>
      <c r="DM80" t="s">
        <v>3</v>
      </c>
      <c r="DN80">
        <v>91</v>
      </c>
      <c r="DO80">
        <v>70</v>
      </c>
      <c r="DP80">
        <v>1.0469999999999999</v>
      </c>
      <c r="DQ80">
        <v>1</v>
      </c>
      <c r="DU80">
        <v>1007</v>
      </c>
      <c r="DV80" t="s">
        <v>140</v>
      </c>
      <c r="DW80" t="s">
        <v>140</v>
      </c>
      <c r="DX80">
        <v>1</v>
      </c>
      <c r="EE80">
        <v>41869136</v>
      </c>
      <c r="EF80">
        <v>30</v>
      </c>
      <c r="EG80" t="s">
        <v>19</v>
      </c>
      <c r="EH80">
        <v>0</v>
      </c>
      <c r="EI80" t="s">
        <v>3</v>
      </c>
      <c r="EJ80">
        <v>1</v>
      </c>
      <c r="EK80">
        <v>1688</v>
      </c>
      <c r="EL80" t="s">
        <v>239</v>
      </c>
      <c r="EM80" t="s">
        <v>240</v>
      </c>
      <c r="EO80" t="s">
        <v>3</v>
      </c>
      <c r="EQ80">
        <v>0</v>
      </c>
      <c r="ER80">
        <v>806.26</v>
      </c>
      <c r="ES80">
        <v>806.26</v>
      </c>
      <c r="ET80">
        <v>0</v>
      </c>
      <c r="EU80">
        <v>0</v>
      </c>
      <c r="EV80">
        <v>0</v>
      </c>
      <c r="EW80">
        <v>0</v>
      </c>
      <c r="EX80">
        <v>0</v>
      </c>
      <c r="FQ80">
        <v>0</v>
      </c>
      <c r="FR80">
        <f t="shared" si="78"/>
        <v>0</v>
      </c>
      <c r="FS80">
        <v>0</v>
      </c>
      <c r="FX80">
        <v>91</v>
      </c>
      <c r="FY80">
        <v>70</v>
      </c>
      <c r="GA80" t="s">
        <v>3</v>
      </c>
      <c r="GD80">
        <v>1</v>
      </c>
      <c r="GF80">
        <v>1133488849</v>
      </c>
      <c r="GG80">
        <v>2</v>
      </c>
      <c r="GH80">
        <v>1</v>
      </c>
      <c r="GI80">
        <v>2</v>
      </c>
      <c r="GJ80">
        <v>0</v>
      </c>
      <c r="GK80">
        <v>0</v>
      </c>
      <c r="GL80">
        <f t="shared" si="79"/>
        <v>0</v>
      </c>
      <c r="GM80">
        <f>ROUND(O80+X80+Y80,2)+GX80</f>
        <v>8408.2800000000007</v>
      </c>
      <c r="GN80">
        <f>IF(OR(BI80=0,BI80=1),ROUND(O80+X80+Y80,2),0)</f>
        <v>8408.2800000000007</v>
      </c>
      <c r="GO80">
        <f>IF(BI80=2,ROUND(O80+X80+Y80,2),0)</f>
        <v>0</v>
      </c>
      <c r="GP80">
        <f>IF(BI80=4,ROUND(O80+X80+Y80,2)+GX80,0)</f>
        <v>0</v>
      </c>
      <c r="GR80">
        <v>0</v>
      </c>
      <c r="GS80">
        <v>3</v>
      </c>
      <c r="GT80">
        <v>0</v>
      </c>
      <c r="GU80" t="s">
        <v>3</v>
      </c>
      <c r="GV80">
        <f t="shared" si="80"/>
        <v>0</v>
      </c>
      <c r="GW80">
        <v>1</v>
      </c>
      <c r="GX80">
        <f t="shared" si="81"/>
        <v>0</v>
      </c>
      <c r="HA80">
        <v>0</v>
      </c>
      <c r="HB80">
        <v>0</v>
      </c>
      <c r="HC80">
        <f t="shared" si="82"/>
        <v>0</v>
      </c>
      <c r="IK80">
        <v>0</v>
      </c>
    </row>
    <row r="81" spans="1:245" x14ac:dyDescent="0.2">
      <c r="A81">
        <v>17</v>
      </c>
      <c r="B81">
        <v>1</v>
      </c>
      <c r="C81">
        <f>ROW(SmtRes!A147)</f>
        <v>147</v>
      </c>
      <c r="D81">
        <f>ROW(EtalonRes!A144)</f>
        <v>144</v>
      </c>
      <c r="E81" t="s">
        <v>260</v>
      </c>
      <c r="F81" t="s">
        <v>261</v>
      </c>
      <c r="G81" t="s">
        <v>262</v>
      </c>
      <c r="H81" t="s">
        <v>263</v>
      </c>
      <c r="I81">
        <f>ROUND(2/10,9)</f>
        <v>0.2</v>
      </c>
      <c r="J81">
        <v>0</v>
      </c>
      <c r="O81">
        <f t="shared" si="53"/>
        <v>5720.44</v>
      </c>
      <c r="P81">
        <f t="shared" si="54"/>
        <v>2312.64</v>
      </c>
      <c r="Q81">
        <f t="shared" si="55"/>
        <v>39.369999999999997</v>
      </c>
      <c r="R81">
        <f t="shared" si="56"/>
        <v>15.97</v>
      </c>
      <c r="S81">
        <f t="shared" si="57"/>
        <v>3368.43</v>
      </c>
      <c r="T81">
        <f t="shared" si="58"/>
        <v>0</v>
      </c>
      <c r="U81">
        <f t="shared" si="59"/>
        <v>14.0455618</v>
      </c>
      <c r="V81">
        <f t="shared" si="60"/>
        <v>0</v>
      </c>
      <c r="W81">
        <f t="shared" si="61"/>
        <v>0</v>
      </c>
      <c r="X81">
        <f t="shared" si="62"/>
        <v>2290.5300000000002</v>
      </c>
      <c r="Y81">
        <f t="shared" si="63"/>
        <v>1381.06</v>
      </c>
      <c r="AA81">
        <v>44962055</v>
      </c>
      <c r="AB81">
        <f t="shared" si="64"/>
        <v>3555</v>
      </c>
      <c r="AC81">
        <f t="shared" si="51"/>
        <v>2766.32</v>
      </c>
      <c r="AD81">
        <f>ROUND(((ET81*1.25)),6)</f>
        <v>29.162500000000001</v>
      </c>
      <c r="AE81">
        <f>ROUND(((EU81*1.25)),6)</f>
        <v>3.6</v>
      </c>
      <c r="AF81">
        <f>ROUND(((EV81*1.15)),6)</f>
        <v>759.51750000000004</v>
      </c>
      <c r="AG81">
        <f t="shared" si="65"/>
        <v>0</v>
      </c>
      <c r="AH81">
        <f>((EW81*1.15))</f>
        <v>64.606999999999999</v>
      </c>
      <c r="AI81">
        <f>((EX81*1.25))</f>
        <v>0</v>
      </c>
      <c r="AJ81">
        <f t="shared" si="66"/>
        <v>0</v>
      </c>
      <c r="AK81">
        <v>3450.1</v>
      </c>
      <c r="AL81">
        <v>2766.32</v>
      </c>
      <c r="AM81">
        <v>23.33</v>
      </c>
      <c r="AN81">
        <v>2.88</v>
      </c>
      <c r="AO81">
        <v>660.45</v>
      </c>
      <c r="AP81">
        <v>0</v>
      </c>
      <c r="AQ81">
        <v>56.18</v>
      </c>
      <c r="AR81">
        <v>0</v>
      </c>
      <c r="AS81">
        <v>0</v>
      </c>
      <c r="AT81">
        <v>68</v>
      </c>
      <c r="AU81">
        <v>41</v>
      </c>
      <c r="AV81">
        <v>1.087</v>
      </c>
      <c r="AW81">
        <v>1</v>
      </c>
      <c r="AZ81">
        <v>1</v>
      </c>
      <c r="BA81">
        <v>20.399999999999999</v>
      </c>
      <c r="BB81">
        <v>6.21</v>
      </c>
      <c r="BC81">
        <v>4.18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1</v>
      </c>
      <c r="BJ81" t="s">
        <v>264</v>
      </c>
      <c r="BM81">
        <v>1553</v>
      </c>
      <c r="BN81">
        <v>0</v>
      </c>
      <c r="BO81" t="s">
        <v>261</v>
      </c>
      <c r="BP81">
        <v>1</v>
      </c>
      <c r="BQ81">
        <v>30</v>
      </c>
      <c r="BR81">
        <v>0</v>
      </c>
      <c r="BS81">
        <v>20.399999999999999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68</v>
      </c>
      <c r="CA81">
        <v>41</v>
      </c>
      <c r="CE81">
        <v>0</v>
      </c>
      <c r="CF81">
        <v>0</v>
      </c>
      <c r="CG81">
        <v>0</v>
      </c>
      <c r="CM81">
        <v>0</v>
      </c>
      <c r="CN81" t="s">
        <v>16</v>
      </c>
      <c r="CO81">
        <v>0</v>
      </c>
      <c r="CP81">
        <f t="shared" si="67"/>
        <v>5720.44</v>
      </c>
      <c r="CQ81">
        <f t="shared" si="68"/>
        <v>11563.2176</v>
      </c>
      <c r="CR81">
        <f t="shared" si="69"/>
        <v>196.85474887500001</v>
      </c>
      <c r="CS81">
        <f t="shared" si="70"/>
        <v>79.829279999999997</v>
      </c>
      <c r="CT81">
        <f t="shared" si="71"/>
        <v>16842.148658999999</v>
      </c>
      <c r="CU81">
        <f t="shared" si="72"/>
        <v>0</v>
      </c>
      <c r="CV81">
        <f t="shared" si="73"/>
        <v>70.227808999999993</v>
      </c>
      <c r="CW81">
        <f t="shared" si="74"/>
        <v>0</v>
      </c>
      <c r="CX81">
        <f t="shared" si="75"/>
        <v>0</v>
      </c>
      <c r="CY81">
        <f t="shared" si="76"/>
        <v>2290.5324000000001</v>
      </c>
      <c r="CZ81">
        <f t="shared" si="77"/>
        <v>1381.0562999999997</v>
      </c>
      <c r="DC81" t="s">
        <v>3</v>
      </c>
      <c r="DD81" t="s">
        <v>3</v>
      </c>
      <c r="DE81" t="s">
        <v>17</v>
      </c>
      <c r="DF81" t="s">
        <v>17</v>
      </c>
      <c r="DG81" t="s">
        <v>18</v>
      </c>
      <c r="DH81" t="s">
        <v>3</v>
      </c>
      <c r="DI81" t="s">
        <v>18</v>
      </c>
      <c r="DJ81" t="s">
        <v>17</v>
      </c>
      <c r="DK81" t="s">
        <v>3</v>
      </c>
      <c r="DL81" t="s">
        <v>3</v>
      </c>
      <c r="DM81" t="s">
        <v>3</v>
      </c>
      <c r="DN81">
        <v>85</v>
      </c>
      <c r="DO81">
        <v>70</v>
      </c>
      <c r="DP81">
        <v>1.087</v>
      </c>
      <c r="DQ81">
        <v>1</v>
      </c>
      <c r="DU81">
        <v>1010</v>
      </c>
      <c r="DV81" t="s">
        <v>263</v>
      </c>
      <c r="DW81" t="s">
        <v>263</v>
      </c>
      <c r="DX81">
        <v>10</v>
      </c>
      <c r="EE81">
        <v>41869001</v>
      </c>
      <c r="EF81">
        <v>30</v>
      </c>
      <c r="EG81" t="s">
        <v>19</v>
      </c>
      <c r="EH81">
        <v>0</v>
      </c>
      <c r="EI81" t="s">
        <v>3</v>
      </c>
      <c r="EJ81">
        <v>1</v>
      </c>
      <c r="EK81">
        <v>1553</v>
      </c>
      <c r="EL81" t="s">
        <v>265</v>
      </c>
      <c r="EM81" t="s">
        <v>266</v>
      </c>
      <c r="EO81" t="s">
        <v>22</v>
      </c>
      <c r="EQ81">
        <v>0</v>
      </c>
      <c r="ER81">
        <v>3450.1</v>
      </c>
      <c r="ES81">
        <v>2766.32</v>
      </c>
      <c r="ET81">
        <v>23.33</v>
      </c>
      <c r="EU81">
        <v>2.88</v>
      </c>
      <c r="EV81">
        <v>660.45</v>
      </c>
      <c r="EW81">
        <v>56.18</v>
      </c>
      <c r="EX81">
        <v>0</v>
      </c>
      <c r="EY81">
        <v>0</v>
      </c>
      <c r="FQ81">
        <v>0</v>
      </c>
      <c r="FR81">
        <f t="shared" si="78"/>
        <v>0</v>
      </c>
      <c r="FS81">
        <v>0</v>
      </c>
      <c r="FX81">
        <v>85</v>
      </c>
      <c r="FY81">
        <v>70</v>
      </c>
      <c r="GA81" t="s">
        <v>3</v>
      </c>
      <c r="GD81">
        <v>0</v>
      </c>
      <c r="GF81">
        <v>-952518296</v>
      </c>
      <c r="GG81">
        <v>2</v>
      </c>
      <c r="GH81">
        <v>1</v>
      </c>
      <c r="GI81">
        <v>2</v>
      </c>
      <c r="GJ81">
        <v>0</v>
      </c>
      <c r="GK81">
        <f>ROUND(R81*(R12)/100,2)</f>
        <v>25.07</v>
      </c>
      <c r="GL81">
        <f t="shared" si="79"/>
        <v>0</v>
      </c>
      <c r="GM81">
        <f>ROUND(O81+X81+Y81+GK81,2)+GX81</f>
        <v>9417.1</v>
      </c>
      <c r="GN81">
        <f>IF(OR(BI81=0,BI81=1),ROUND(O81+X81+Y81+GK81,2),0)</f>
        <v>9417.1</v>
      </c>
      <c r="GO81">
        <f>IF(BI81=2,ROUND(O81+X81+Y81+GK81,2),0)</f>
        <v>0</v>
      </c>
      <c r="GP81">
        <f>IF(BI81=4,ROUND(O81+X81+Y81+GK81,2)+GX81,0)</f>
        <v>0</v>
      </c>
      <c r="GR81">
        <v>0</v>
      </c>
      <c r="GS81">
        <v>3</v>
      </c>
      <c r="GT81">
        <v>0</v>
      </c>
      <c r="GU81" t="s">
        <v>3</v>
      </c>
      <c r="GV81">
        <f t="shared" si="80"/>
        <v>0</v>
      </c>
      <c r="GW81">
        <v>1</v>
      </c>
      <c r="GX81">
        <f t="shared" si="81"/>
        <v>0</v>
      </c>
      <c r="HA81">
        <v>0</v>
      </c>
      <c r="HB81">
        <v>0</v>
      </c>
      <c r="HC81">
        <f t="shared" si="82"/>
        <v>0</v>
      </c>
      <c r="IK81">
        <v>0</v>
      </c>
    </row>
    <row r="82" spans="1:245" x14ac:dyDescent="0.2">
      <c r="A82">
        <v>18</v>
      </c>
      <c r="B82">
        <v>1</v>
      </c>
      <c r="C82">
        <v>145</v>
      </c>
      <c r="E82" t="s">
        <v>267</v>
      </c>
      <c r="F82" t="s">
        <v>268</v>
      </c>
      <c r="G82" t="s">
        <v>269</v>
      </c>
      <c r="H82" t="s">
        <v>270</v>
      </c>
      <c r="I82">
        <f>I81*J82</f>
        <v>2</v>
      </c>
      <c r="J82">
        <v>10</v>
      </c>
      <c r="O82">
        <f t="shared" si="53"/>
        <v>28633.84</v>
      </c>
      <c r="P82">
        <f t="shared" si="54"/>
        <v>28633.84</v>
      </c>
      <c r="Q82">
        <f t="shared" si="55"/>
        <v>0</v>
      </c>
      <c r="R82">
        <f t="shared" si="56"/>
        <v>0</v>
      </c>
      <c r="S82">
        <f t="shared" si="57"/>
        <v>0</v>
      </c>
      <c r="T82">
        <f t="shared" si="58"/>
        <v>0</v>
      </c>
      <c r="U82">
        <f t="shared" si="59"/>
        <v>0</v>
      </c>
      <c r="V82">
        <f t="shared" si="60"/>
        <v>0</v>
      </c>
      <c r="W82">
        <f t="shared" si="61"/>
        <v>0</v>
      </c>
      <c r="X82">
        <f t="shared" si="62"/>
        <v>0</v>
      </c>
      <c r="Y82">
        <f t="shared" si="63"/>
        <v>0</v>
      </c>
      <c r="AA82">
        <v>44962055</v>
      </c>
      <c r="AB82">
        <f t="shared" si="64"/>
        <v>7495.77</v>
      </c>
      <c r="AC82">
        <f t="shared" si="51"/>
        <v>7495.77</v>
      </c>
      <c r="AD82">
        <f>ROUND((ET82),6)</f>
        <v>0</v>
      </c>
      <c r="AE82">
        <f>ROUND((EU82),6)</f>
        <v>0</v>
      </c>
      <c r="AF82">
        <f>ROUND((EV82),6)</f>
        <v>0</v>
      </c>
      <c r="AG82">
        <f t="shared" si="65"/>
        <v>0</v>
      </c>
      <c r="AH82">
        <f>(EW82)</f>
        <v>0</v>
      </c>
      <c r="AI82">
        <f>(EX82)</f>
        <v>0</v>
      </c>
      <c r="AJ82">
        <f t="shared" si="66"/>
        <v>0</v>
      </c>
      <c r="AK82">
        <v>7495.77</v>
      </c>
      <c r="AL82">
        <v>7495.77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1.91</v>
      </c>
      <c r="BD82" t="s">
        <v>3</v>
      </c>
      <c r="BE82" t="s">
        <v>3</v>
      </c>
      <c r="BF82" t="s">
        <v>3</v>
      </c>
      <c r="BG82" t="s">
        <v>3</v>
      </c>
      <c r="BH82">
        <v>3</v>
      </c>
      <c r="BI82">
        <v>1</v>
      </c>
      <c r="BJ82" t="s">
        <v>271</v>
      </c>
      <c r="BM82">
        <v>1553</v>
      </c>
      <c r="BN82">
        <v>0</v>
      </c>
      <c r="BO82" t="s">
        <v>268</v>
      </c>
      <c r="BP82">
        <v>1</v>
      </c>
      <c r="BQ82">
        <v>30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0</v>
      </c>
      <c r="CA82">
        <v>0</v>
      </c>
      <c r="CE82">
        <v>0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67"/>
        <v>28633.84</v>
      </c>
      <c r="CQ82">
        <f t="shared" si="68"/>
        <v>14316.920700000001</v>
      </c>
      <c r="CR82">
        <f t="shared" si="69"/>
        <v>0</v>
      </c>
      <c r="CS82">
        <f t="shared" si="70"/>
        <v>0</v>
      </c>
      <c r="CT82">
        <f t="shared" si="71"/>
        <v>0</v>
      </c>
      <c r="CU82">
        <f t="shared" si="72"/>
        <v>0</v>
      </c>
      <c r="CV82">
        <f t="shared" si="73"/>
        <v>0</v>
      </c>
      <c r="CW82">
        <f t="shared" si="74"/>
        <v>0</v>
      </c>
      <c r="CX82">
        <f t="shared" si="75"/>
        <v>0</v>
      </c>
      <c r="CY82">
        <f t="shared" si="76"/>
        <v>0</v>
      </c>
      <c r="CZ82">
        <f t="shared" si="77"/>
        <v>0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85</v>
      </c>
      <c r="DO82">
        <v>70</v>
      </c>
      <c r="DP82">
        <v>1.087</v>
      </c>
      <c r="DQ82">
        <v>1</v>
      </c>
      <c r="DU82">
        <v>1010</v>
      </c>
      <c r="DV82" t="s">
        <v>270</v>
      </c>
      <c r="DW82" t="s">
        <v>270</v>
      </c>
      <c r="DX82">
        <v>1</v>
      </c>
      <c r="EE82">
        <v>41869001</v>
      </c>
      <c r="EF82">
        <v>30</v>
      </c>
      <c r="EG82" t="s">
        <v>19</v>
      </c>
      <c r="EH82">
        <v>0</v>
      </c>
      <c r="EI82" t="s">
        <v>3</v>
      </c>
      <c r="EJ82">
        <v>1</v>
      </c>
      <c r="EK82">
        <v>1553</v>
      </c>
      <c r="EL82" t="s">
        <v>265</v>
      </c>
      <c r="EM82" t="s">
        <v>266</v>
      </c>
      <c r="EO82" t="s">
        <v>3</v>
      </c>
      <c r="EQ82">
        <v>0</v>
      </c>
      <c r="ER82">
        <v>7495.77</v>
      </c>
      <c r="ES82">
        <v>7495.77</v>
      </c>
      <c r="ET82">
        <v>0</v>
      </c>
      <c r="EU82">
        <v>0</v>
      </c>
      <c r="EV82">
        <v>0</v>
      </c>
      <c r="EW82">
        <v>0</v>
      </c>
      <c r="EX82">
        <v>0</v>
      </c>
      <c r="FQ82">
        <v>0</v>
      </c>
      <c r="FR82">
        <f t="shared" si="78"/>
        <v>0</v>
      </c>
      <c r="FS82">
        <v>0</v>
      </c>
      <c r="FX82">
        <v>85</v>
      </c>
      <c r="FY82">
        <v>70</v>
      </c>
      <c r="GA82" t="s">
        <v>3</v>
      </c>
      <c r="GD82">
        <v>1</v>
      </c>
      <c r="GF82">
        <v>1452044937</v>
      </c>
      <c r="GG82">
        <v>2</v>
      </c>
      <c r="GH82">
        <v>1</v>
      </c>
      <c r="GI82">
        <v>2</v>
      </c>
      <c r="GJ82">
        <v>0</v>
      </c>
      <c r="GK82">
        <v>0</v>
      </c>
      <c r="GL82">
        <f t="shared" si="79"/>
        <v>0</v>
      </c>
      <c r="GM82">
        <f>ROUND(O82+X82+Y82,2)+GX82</f>
        <v>28633.84</v>
      </c>
      <c r="GN82">
        <f>IF(OR(BI82=0,BI82=1),ROUND(O82+X82+Y82,2),0)</f>
        <v>28633.84</v>
      </c>
      <c r="GO82">
        <f>IF(BI82=2,ROUND(O82+X82+Y82,2),0)</f>
        <v>0</v>
      </c>
      <c r="GP82">
        <f>IF(BI82=4,ROUND(O82+X82+Y82,2)+GX82,0)</f>
        <v>0</v>
      </c>
      <c r="GR82">
        <v>0</v>
      </c>
      <c r="GS82">
        <v>3</v>
      </c>
      <c r="GT82">
        <v>0</v>
      </c>
      <c r="GU82" t="s">
        <v>3</v>
      </c>
      <c r="GV82">
        <f t="shared" si="80"/>
        <v>0</v>
      </c>
      <c r="GW82">
        <v>1</v>
      </c>
      <c r="GX82">
        <f t="shared" si="81"/>
        <v>0</v>
      </c>
      <c r="HA82">
        <v>0</v>
      </c>
      <c r="HB82">
        <v>0</v>
      </c>
      <c r="HC82">
        <f t="shared" si="82"/>
        <v>0</v>
      </c>
      <c r="IK82">
        <v>0</v>
      </c>
    </row>
    <row r="83" spans="1:245" x14ac:dyDescent="0.2">
      <c r="A83">
        <v>17</v>
      </c>
      <c r="B83">
        <v>1</v>
      </c>
      <c r="C83">
        <f>ROW(SmtRes!A162)</f>
        <v>162</v>
      </c>
      <c r="D83">
        <f>ROW(EtalonRes!A159)</f>
        <v>159</v>
      </c>
      <c r="E83" t="s">
        <v>272</v>
      </c>
      <c r="F83" t="s">
        <v>273</v>
      </c>
      <c r="G83" t="s">
        <v>274</v>
      </c>
      <c r="H83" t="s">
        <v>275</v>
      </c>
      <c r="I83">
        <f>ROUND((1.8*15)/100,9)</f>
        <v>0.27</v>
      </c>
      <c r="J83">
        <v>0</v>
      </c>
      <c r="O83">
        <f t="shared" si="53"/>
        <v>11693.07</v>
      </c>
      <c r="P83">
        <f t="shared" si="54"/>
        <v>3556.26</v>
      </c>
      <c r="Q83">
        <f t="shared" si="55"/>
        <v>964.4</v>
      </c>
      <c r="R83">
        <f t="shared" si="56"/>
        <v>531.05999999999995</v>
      </c>
      <c r="S83">
        <f t="shared" si="57"/>
        <v>7172.41</v>
      </c>
      <c r="T83">
        <f t="shared" si="58"/>
        <v>0</v>
      </c>
      <c r="U83">
        <f t="shared" si="59"/>
        <v>29.225905650000001</v>
      </c>
      <c r="V83">
        <f t="shared" si="60"/>
        <v>0</v>
      </c>
      <c r="W83">
        <f t="shared" si="61"/>
        <v>0</v>
      </c>
      <c r="X83">
        <f t="shared" si="62"/>
        <v>6096.55</v>
      </c>
      <c r="Y83">
        <f t="shared" si="63"/>
        <v>2940.69</v>
      </c>
      <c r="AA83">
        <v>44962055</v>
      </c>
      <c r="AB83">
        <f t="shared" si="64"/>
        <v>3685.27</v>
      </c>
      <c r="AC83">
        <f t="shared" si="51"/>
        <v>2042.07</v>
      </c>
      <c r="AD83">
        <f>ROUND(((ET83*1.25)),6)</f>
        <v>399.47500000000002</v>
      </c>
      <c r="AE83">
        <f>ROUND(((EU83*1.25)),6)</f>
        <v>92.087500000000006</v>
      </c>
      <c r="AF83">
        <f>ROUND(((EV83*1.15)),6)</f>
        <v>1243.7249999999999</v>
      </c>
      <c r="AG83">
        <f t="shared" si="65"/>
        <v>0</v>
      </c>
      <c r="AH83">
        <f>((EW83*1.15))</f>
        <v>103.38500000000001</v>
      </c>
      <c r="AI83">
        <f>((EX83*1.25))</f>
        <v>0</v>
      </c>
      <c r="AJ83">
        <f t="shared" si="66"/>
        <v>0</v>
      </c>
      <c r="AK83">
        <v>3443.15</v>
      </c>
      <c r="AL83">
        <v>2042.07</v>
      </c>
      <c r="AM83">
        <v>319.58</v>
      </c>
      <c r="AN83">
        <v>73.67</v>
      </c>
      <c r="AO83">
        <v>1081.5</v>
      </c>
      <c r="AP83">
        <v>0</v>
      </c>
      <c r="AQ83">
        <v>89.9</v>
      </c>
      <c r="AR83">
        <v>0</v>
      </c>
      <c r="AS83">
        <v>0</v>
      </c>
      <c r="AT83">
        <v>85</v>
      </c>
      <c r="AU83">
        <v>41</v>
      </c>
      <c r="AV83">
        <v>1.0469999999999999</v>
      </c>
      <c r="AW83">
        <v>1</v>
      </c>
      <c r="AZ83">
        <v>1</v>
      </c>
      <c r="BA83">
        <v>20.399999999999999</v>
      </c>
      <c r="BB83">
        <v>8.5399999999999991</v>
      </c>
      <c r="BC83">
        <v>6.45</v>
      </c>
      <c r="BD83" t="s">
        <v>3</v>
      </c>
      <c r="BE83" t="s">
        <v>3</v>
      </c>
      <c r="BF83" t="s">
        <v>3</v>
      </c>
      <c r="BG83" t="s">
        <v>3</v>
      </c>
      <c r="BH83">
        <v>0</v>
      </c>
      <c r="BI83">
        <v>1</v>
      </c>
      <c r="BJ83" t="s">
        <v>276</v>
      </c>
      <c r="BM83">
        <v>81</v>
      </c>
      <c r="BN83">
        <v>0</v>
      </c>
      <c r="BO83" t="s">
        <v>273</v>
      </c>
      <c r="BP83">
        <v>1</v>
      </c>
      <c r="BQ83">
        <v>30</v>
      </c>
      <c r="BR83">
        <v>0</v>
      </c>
      <c r="BS83">
        <v>20.399999999999999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85</v>
      </c>
      <c r="CA83">
        <v>41</v>
      </c>
      <c r="CE83">
        <v>0</v>
      </c>
      <c r="CF83">
        <v>0</v>
      </c>
      <c r="CG83">
        <v>0</v>
      </c>
      <c r="CM83">
        <v>0</v>
      </c>
      <c r="CN83" t="s">
        <v>16</v>
      </c>
      <c r="CO83">
        <v>0</v>
      </c>
      <c r="CP83">
        <f t="shared" si="67"/>
        <v>11693.07</v>
      </c>
      <c r="CQ83">
        <f t="shared" si="68"/>
        <v>13171.351500000001</v>
      </c>
      <c r="CR83">
        <f t="shared" si="69"/>
        <v>3571.8577754999997</v>
      </c>
      <c r="CS83">
        <f t="shared" si="70"/>
        <v>1966.8784949999999</v>
      </c>
      <c r="CT83">
        <f t="shared" si="71"/>
        <v>26564.473529999996</v>
      </c>
      <c r="CU83">
        <f t="shared" si="72"/>
        <v>0</v>
      </c>
      <c r="CV83">
        <f t="shared" si="73"/>
        <v>108.244095</v>
      </c>
      <c r="CW83">
        <f t="shared" si="74"/>
        <v>0</v>
      </c>
      <c r="CX83">
        <f t="shared" si="75"/>
        <v>0</v>
      </c>
      <c r="CY83">
        <f t="shared" si="76"/>
        <v>6096.5484999999999</v>
      </c>
      <c r="CZ83">
        <f t="shared" si="77"/>
        <v>2940.6880999999998</v>
      </c>
      <c r="DC83" t="s">
        <v>3</v>
      </c>
      <c r="DD83" t="s">
        <v>3</v>
      </c>
      <c r="DE83" t="s">
        <v>17</v>
      </c>
      <c r="DF83" t="s">
        <v>17</v>
      </c>
      <c r="DG83" t="s">
        <v>18</v>
      </c>
      <c r="DH83" t="s">
        <v>3</v>
      </c>
      <c r="DI83" t="s">
        <v>18</v>
      </c>
      <c r="DJ83" t="s">
        <v>17</v>
      </c>
      <c r="DK83" t="s">
        <v>3</v>
      </c>
      <c r="DL83" t="s">
        <v>3</v>
      </c>
      <c r="DM83" t="s">
        <v>3</v>
      </c>
      <c r="DN83">
        <v>105</v>
      </c>
      <c r="DO83">
        <v>70</v>
      </c>
      <c r="DP83">
        <v>1.0469999999999999</v>
      </c>
      <c r="DQ83">
        <v>1</v>
      </c>
      <c r="DU83">
        <v>1013</v>
      </c>
      <c r="DV83" t="s">
        <v>275</v>
      </c>
      <c r="DW83" t="s">
        <v>275</v>
      </c>
      <c r="DX83">
        <v>1</v>
      </c>
      <c r="EE83">
        <v>41867529</v>
      </c>
      <c r="EF83">
        <v>30</v>
      </c>
      <c r="EG83" t="s">
        <v>19</v>
      </c>
      <c r="EH83">
        <v>0</v>
      </c>
      <c r="EI83" t="s">
        <v>3</v>
      </c>
      <c r="EJ83">
        <v>1</v>
      </c>
      <c r="EK83">
        <v>81</v>
      </c>
      <c r="EL83" t="s">
        <v>277</v>
      </c>
      <c r="EM83" t="s">
        <v>278</v>
      </c>
      <c r="EO83" t="s">
        <v>22</v>
      </c>
      <c r="EQ83">
        <v>0</v>
      </c>
      <c r="ER83">
        <v>3443.15</v>
      </c>
      <c r="ES83">
        <v>2042.07</v>
      </c>
      <c r="ET83">
        <v>319.58</v>
      </c>
      <c r="EU83">
        <v>73.67</v>
      </c>
      <c r="EV83">
        <v>1081.5</v>
      </c>
      <c r="EW83">
        <v>89.9</v>
      </c>
      <c r="EX83">
        <v>0</v>
      </c>
      <c r="EY83">
        <v>0</v>
      </c>
      <c r="FQ83">
        <v>0</v>
      </c>
      <c r="FR83">
        <f t="shared" si="78"/>
        <v>0</v>
      </c>
      <c r="FS83">
        <v>0</v>
      </c>
      <c r="FX83">
        <v>105</v>
      </c>
      <c r="FY83">
        <v>70</v>
      </c>
      <c r="GA83" t="s">
        <v>3</v>
      </c>
      <c r="GD83">
        <v>0</v>
      </c>
      <c r="GF83">
        <v>-970195915</v>
      </c>
      <c r="GG83">
        <v>2</v>
      </c>
      <c r="GH83">
        <v>1</v>
      </c>
      <c r="GI83">
        <v>2</v>
      </c>
      <c r="GJ83">
        <v>0</v>
      </c>
      <c r="GK83">
        <f>ROUND(R83*(R12)/100,2)</f>
        <v>833.76</v>
      </c>
      <c r="GL83">
        <f t="shared" si="79"/>
        <v>0</v>
      </c>
      <c r="GM83">
        <f>ROUND(O83+X83+Y83+GK83,2)+GX83</f>
        <v>21564.07</v>
      </c>
      <c r="GN83">
        <f>IF(OR(BI83=0,BI83=1),ROUND(O83+X83+Y83+GK83,2),0)</f>
        <v>21564.07</v>
      </c>
      <c r="GO83">
        <f>IF(BI83=2,ROUND(O83+X83+Y83+GK83,2),0)</f>
        <v>0</v>
      </c>
      <c r="GP83">
        <f>IF(BI83=4,ROUND(O83+X83+Y83+GK83,2)+GX83,0)</f>
        <v>0</v>
      </c>
      <c r="GR83">
        <v>0</v>
      </c>
      <c r="GS83">
        <v>3</v>
      </c>
      <c r="GT83">
        <v>0</v>
      </c>
      <c r="GU83" t="s">
        <v>3</v>
      </c>
      <c r="GV83">
        <f t="shared" si="80"/>
        <v>0</v>
      </c>
      <c r="GW83">
        <v>1</v>
      </c>
      <c r="GX83">
        <f t="shared" si="81"/>
        <v>0</v>
      </c>
      <c r="HA83">
        <v>0</v>
      </c>
      <c r="HB83">
        <v>0</v>
      </c>
      <c r="HC83">
        <f t="shared" si="82"/>
        <v>0</v>
      </c>
      <c r="IK83">
        <v>0</v>
      </c>
    </row>
    <row r="84" spans="1:245" x14ac:dyDescent="0.2">
      <c r="A84">
        <v>18</v>
      </c>
      <c r="B84">
        <v>1</v>
      </c>
      <c r="C84">
        <v>161</v>
      </c>
      <c r="E84" t="s">
        <v>279</v>
      </c>
      <c r="F84" t="s">
        <v>280</v>
      </c>
      <c r="G84" t="s">
        <v>281</v>
      </c>
      <c r="H84" t="s">
        <v>113</v>
      </c>
      <c r="I84">
        <f>I83*J84</f>
        <v>15</v>
      </c>
      <c r="J84">
        <v>55.55555555555555</v>
      </c>
      <c r="O84">
        <f t="shared" si="53"/>
        <v>4791.5</v>
      </c>
      <c r="P84">
        <f t="shared" si="54"/>
        <v>4791.5</v>
      </c>
      <c r="Q84">
        <f t="shared" si="55"/>
        <v>0</v>
      </c>
      <c r="R84">
        <f t="shared" si="56"/>
        <v>0</v>
      </c>
      <c r="S84">
        <f t="shared" si="57"/>
        <v>0</v>
      </c>
      <c r="T84">
        <f t="shared" si="58"/>
        <v>0</v>
      </c>
      <c r="U84">
        <f t="shared" si="59"/>
        <v>0</v>
      </c>
      <c r="V84">
        <f t="shared" si="60"/>
        <v>0</v>
      </c>
      <c r="W84">
        <f t="shared" si="61"/>
        <v>0</v>
      </c>
      <c r="X84">
        <f t="shared" si="62"/>
        <v>0</v>
      </c>
      <c r="Y84">
        <f t="shared" si="63"/>
        <v>0</v>
      </c>
      <c r="AA84">
        <v>44962055</v>
      </c>
      <c r="AB84">
        <f t="shared" si="64"/>
        <v>72.27</v>
      </c>
      <c r="AC84">
        <f t="shared" si="51"/>
        <v>72.27</v>
      </c>
      <c r="AD84">
        <f t="shared" ref="AD84:AF85" si="91">ROUND((ET84),6)</f>
        <v>0</v>
      </c>
      <c r="AE84">
        <f t="shared" si="91"/>
        <v>0</v>
      </c>
      <c r="AF84">
        <f t="shared" si="91"/>
        <v>0</v>
      </c>
      <c r="AG84">
        <f t="shared" si="65"/>
        <v>0</v>
      </c>
      <c r="AH84">
        <f>(EW84)</f>
        <v>0</v>
      </c>
      <c r="AI84">
        <f>(EX84)</f>
        <v>0</v>
      </c>
      <c r="AJ84">
        <f t="shared" si="66"/>
        <v>0</v>
      </c>
      <c r="AK84">
        <v>72.27</v>
      </c>
      <c r="AL84">
        <v>72.27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4.42</v>
      </c>
      <c r="BD84" t="s">
        <v>3</v>
      </c>
      <c r="BE84" t="s">
        <v>3</v>
      </c>
      <c r="BF84" t="s">
        <v>3</v>
      </c>
      <c r="BG84" t="s">
        <v>3</v>
      </c>
      <c r="BH84">
        <v>3</v>
      </c>
      <c r="BI84">
        <v>1</v>
      </c>
      <c r="BJ84" t="s">
        <v>282</v>
      </c>
      <c r="BM84">
        <v>81</v>
      </c>
      <c r="BN84">
        <v>0</v>
      </c>
      <c r="BO84" t="s">
        <v>280</v>
      </c>
      <c r="BP84">
        <v>1</v>
      </c>
      <c r="BQ84">
        <v>30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0</v>
      </c>
      <c r="CA84">
        <v>0</v>
      </c>
      <c r="CE84">
        <v>0</v>
      </c>
      <c r="CF84">
        <v>0</v>
      </c>
      <c r="CG84">
        <v>0</v>
      </c>
      <c r="CM84">
        <v>0</v>
      </c>
      <c r="CN84" t="s">
        <v>3</v>
      </c>
      <c r="CO84">
        <v>0</v>
      </c>
      <c r="CP84">
        <f t="shared" si="67"/>
        <v>4791.5</v>
      </c>
      <c r="CQ84">
        <f t="shared" si="68"/>
        <v>319.43339999999995</v>
      </c>
      <c r="CR84">
        <f t="shared" si="69"/>
        <v>0</v>
      </c>
      <c r="CS84">
        <f t="shared" si="70"/>
        <v>0</v>
      </c>
      <c r="CT84">
        <f t="shared" si="71"/>
        <v>0</v>
      </c>
      <c r="CU84">
        <f t="shared" si="72"/>
        <v>0</v>
      </c>
      <c r="CV84">
        <f t="shared" si="73"/>
        <v>0</v>
      </c>
      <c r="CW84">
        <f t="shared" si="74"/>
        <v>0</v>
      </c>
      <c r="CX84">
        <f t="shared" si="75"/>
        <v>0</v>
      </c>
      <c r="CY84">
        <f t="shared" si="76"/>
        <v>0</v>
      </c>
      <c r="CZ84">
        <f t="shared" si="77"/>
        <v>0</v>
      </c>
      <c r="DC84" t="s">
        <v>3</v>
      </c>
      <c r="DD84" t="s">
        <v>3</v>
      </c>
      <c r="DE84" t="s">
        <v>3</v>
      </c>
      <c r="DF84" t="s">
        <v>3</v>
      </c>
      <c r="DG84" t="s">
        <v>3</v>
      </c>
      <c r="DH84" t="s">
        <v>3</v>
      </c>
      <c r="DI84" t="s">
        <v>3</v>
      </c>
      <c r="DJ84" t="s">
        <v>3</v>
      </c>
      <c r="DK84" t="s">
        <v>3</v>
      </c>
      <c r="DL84" t="s">
        <v>3</v>
      </c>
      <c r="DM84" t="s">
        <v>3</v>
      </c>
      <c r="DN84">
        <v>105</v>
      </c>
      <c r="DO84">
        <v>70</v>
      </c>
      <c r="DP84">
        <v>1.0469999999999999</v>
      </c>
      <c r="DQ84">
        <v>1</v>
      </c>
      <c r="DU84">
        <v>1013</v>
      </c>
      <c r="DV84" t="s">
        <v>113</v>
      </c>
      <c r="DW84" t="s">
        <v>113</v>
      </c>
      <c r="DX84">
        <v>1</v>
      </c>
      <c r="EE84">
        <v>41867529</v>
      </c>
      <c r="EF84">
        <v>30</v>
      </c>
      <c r="EG84" t="s">
        <v>19</v>
      </c>
      <c r="EH84">
        <v>0</v>
      </c>
      <c r="EI84" t="s">
        <v>3</v>
      </c>
      <c r="EJ84">
        <v>1</v>
      </c>
      <c r="EK84">
        <v>81</v>
      </c>
      <c r="EL84" t="s">
        <v>277</v>
      </c>
      <c r="EM84" t="s">
        <v>278</v>
      </c>
      <c r="EO84" t="s">
        <v>3</v>
      </c>
      <c r="EQ84">
        <v>0</v>
      </c>
      <c r="ER84">
        <v>72.27</v>
      </c>
      <c r="ES84">
        <v>72.27</v>
      </c>
      <c r="ET84">
        <v>0</v>
      </c>
      <c r="EU84">
        <v>0</v>
      </c>
      <c r="EV84">
        <v>0</v>
      </c>
      <c r="EW84">
        <v>0</v>
      </c>
      <c r="EX84">
        <v>0</v>
      </c>
      <c r="FQ84">
        <v>0</v>
      </c>
      <c r="FR84">
        <f t="shared" si="78"/>
        <v>0</v>
      </c>
      <c r="FS84">
        <v>0</v>
      </c>
      <c r="FX84">
        <v>105</v>
      </c>
      <c r="FY84">
        <v>70</v>
      </c>
      <c r="GA84" t="s">
        <v>3</v>
      </c>
      <c r="GD84">
        <v>1</v>
      </c>
      <c r="GF84">
        <v>-189742698</v>
      </c>
      <c r="GG84">
        <v>2</v>
      </c>
      <c r="GH84">
        <v>1</v>
      </c>
      <c r="GI84">
        <v>2</v>
      </c>
      <c r="GJ84">
        <v>0</v>
      </c>
      <c r="GK84">
        <v>0</v>
      </c>
      <c r="GL84">
        <f t="shared" si="79"/>
        <v>0</v>
      </c>
      <c r="GM84">
        <f>ROUND(O84+X84+Y84,2)+GX84</f>
        <v>4791.5</v>
      </c>
      <c r="GN84">
        <f>IF(OR(BI84=0,BI84=1),ROUND(O84+X84+Y84,2),0)</f>
        <v>4791.5</v>
      </c>
      <c r="GO84">
        <f>IF(BI84=2,ROUND(O84+X84+Y84,2),0)</f>
        <v>0</v>
      </c>
      <c r="GP84">
        <f>IF(BI84=4,ROUND(O84+X84+Y84,2)+GX84,0)</f>
        <v>0</v>
      </c>
      <c r="GR84">
        <v>0</v>
      </c>
      <c r="GS84">
        <v>3</v>
      </c>
      <c r="GT84">
        <v>0</v>
      </c>
      <c r="GU84" t="s">
        <v>3</v>
      </c>
      <c r="GV84">
        <f t="shared" si="80"/>
        <v>0</v>
      </c>
      <c r="GW84">
        <v>1</v>
      </c>
      <c r="GX84">
        <f t="shared" si="81"/>
        <v>0</v>
      </c>
      <c r="HA84">
        <v>0</v>
      </c>
      <c r="HB84">
        <v>0</v>
      </c>
      <c r="HC84">
        <f t="shared" si="82"/>
        <v>0</v>
      </c>
      <c r="IK84">
        <v>0</v>
      </c>
    </row>
    <row r="85" spans="1:245" x14ac:dyDescent="0.2">
      <c r="A85">
        <v>18</v>
      </c>
      <c r="B85">
        <v>1</v>
      </c>
      <c r="C85">
        <v>162</v>
      </c>
      <c r="E85" t="s">
        <v>283</v>
      </c>
      <c r="F85" t="s">
        <v>284</v>
      </c>
      <c r="G85" t="s">
        <v>649</v>
      </c>
      <c r="H85" t="s">
        <v>36</v>
      </c>
      <c r="I85">
        <f>I83*J85</f>
        <v>27</v>
      </c>
      <c r="J85">
        <v>100</v>
      </c>
      <c r="O85">
        <f t="shared" si="53"/>
        <v>34086.870000000003</v>
      </c>
      <c r="P85">
        <f t="shared" si="54"/>
        <v>34086.870000000003</v>
      </c>
      <c r="Q85">
        <f t="shared" si="55"/>
        <v>0</v>
      </c>
      <c r="R85">
        <f t="shared" si="56"/>
        <v>0</v>
      </c>
      <c r="S85">
        <f t="shared" si="57"/>
        <v>0</v>
      </c>
      <c r="T85">
        <f t="shared" si="58"/>
        <v>0</v>
      </c>
      <c r="U85">
        <f t="shared" si="59"/>
        <v>0</v>
      </c>
      <c r="V85">
        <f t="shared" si="60"/>
        <v>0</v>
      </c>
      <c r="W85">
        <f t="shared" si="61"/>
        <v>0</v>
      </c>
      <c r="X85">
        <f t="shared" si="62"/>
        <v>0</v>
      </c>
      <c r="Y85">
        <f t="shared" si="63"/>
        <v>0</v>
      </c>
      <c r="AA85">
        <v>44962055</v>
      </c>
      <c r="AB85">
        <f t="shared" si="64"/>
        <v>269.76</v>
      </c>
      <c r="AC85">
        <f t="shared" si="51"/>
        <v>269.76</v>
      </c>
      <c r="AD85">
        <f t="shared" si="91"/>
        <v>0</v>
      </c>
      <c r="AE85">
        <f t="shared" si="91"/>
        <v>0</v>
      </c>
      <c r="AF85">
        <f t="shared" si="91"/>
        <v>0</v>
      </c>
      <c r="AG85">
        <f t="shared" si="65"/>
        <v>0</v>
      </c>
      <c r="AH85">
        <f>(EW85)</f>
        <v>0</v>
      </c>
      <c r="AI85">
        <f>(EX85)</f>
        <v>0</v>
      </c>
      <c r="AJ85">
        <f t="shared" si="66"/>
        <v>0</v>
      </c>
      <c r="AK85">
        <v>269.76</v>
      </c>
      <c r="AL85">
        <v>269.76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4.68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285</v>
      </c>
      <c r="BM85">
        <v>81</v>
      </c>
      <c r="BN85">
        <v>0</v>
      </c>
      <c r="BO85" t="s">
        <v>284</v>
      </c>
      <c r="BP85">
        <v>1</v>
      </c>
      <c r="BQ85">
        <v>30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67"/>
        <v>34086.870000000003</v>
      </c>
      <c r="CQ85">
        <f t="shared" si="68"/>
        <v>1262.4767999999999</v>
      </c>
      <c r="CR85">
        <f t="shared" si="69"/>
        <v>0</v>
      </c>
      <c r="CS85">
        <f t="shared" si="70"/>
        <v>0</v>
      </c>
      <c r="CT85">
        <f t="shared" si="71"/>
        <v>0</v>
      </c>
      <c r="CU85">
        <f t="shared" si="72"/>
        <v>0</v>
      </c>
      <c r="CV85">
        <f t="shared" si="73"/>
        <v>0</v>
      </c>
      <c r="CW85">
        <f t="shared" si="74"/>
        <v>0</v>
      </c>
      <c r="CX85">
        <f t="shared" si="75"/>
        <v>0</v>
      </c>
      <c r="CY85">
        <f t="shared" si="76"/>
        <v>0</v>
      </c>
      <c r="CZ85">
        <f t="shared" si="77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105</v>
      </c>
      <c r="DO85">
        <v>70</v>
      </c>
      <c r="DP85">
        <v>1.0469999999999999</v>
      </c>
      <c r="DQ85">
        <v>1</v>
      </c>
      <c r="DU85">
        <v>1005</v>
      </c>
      <c r="DV85" t="s">
        <v>36</v>
      </c>
      <c r="DW85" t="s">
        <v>36</v>
      </c>
      <c r="DX85">
        <v>1</v>
      </c>
      <c r="EE85">
        <v>41867529</v>
      </c>
      <c r="EF85">
        <v>30</v>
      </c>
      <c r="EG85" t="s">
        <v>19</v>
      </c>
      <c r="EH85">
        <v>0</v>
      </c>
      <c r="EI85" t="s">
        <v>3</v>
      </c>
      <c r="EJ85">
        <v>1</v>
      </c>
      <c r="EK85">
        <v>81</v>
      </c>
      <c r="EL85" t="s">
        <v>277</v>
      </c>
      <c r="EM85" t="s">
        <v>278</v>
      </c>
      <c r="EO85" t="s">
        <v>3</v>
      </c>
      <c r="EQ85">
        <v>0</v>
      </c>
      <c r="ER85">
        <v>269.76</v>
      </c>
      <c r="ES85">
        <v>269.76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78"/>
        <v>0</v>
      </c>
      <c r="FS85">
        <v>0</v>
      </c>
      <c r="FX85">
        <v>105</v>
      </c>
      <c r="FY85">
        <v>70</v>
      </c>
      <c r="GA85" t="s">
        <v>3</v>
      </c>
      <c r="GD85">
        <v>1</v>
      </c>
      <c r="GF85">
        <v>-449322226</v>
      </c>
      <c r="GG85">
        <v>2</v>
      </c>
      <c r="GH85">
        <v>1</v>
      </c>
      <c r="GI85">
        <v>2</v>
      </c>
      <c r="GJ85">
        <v>0</v>
      </c>
      <c r="GK85">
        <v>0</v>
      </c>
      <c r="GL85">
        <f t="shared" si="79"/>
        <v>0</v>
      </c>
      <c r="GM85">
        <f>ROUND(O85+X85+Y85,2)+GX85</f>
        <v>34086.870000000003</v>
      </c>
      <c r="GN85">
        <f>IF(OR(BI85=0,BI85=1),ROUND(O85+X85+Y85,2),0)</f>
        <v>34086.870000000003</v>
      </c>
      <c r="GO85">
        <f>IF(BI85=2,ROUND(O85+X85+Y85,2),0)</f>
        <v>0</v>
      </c>
      <c r="GP85">
        <f>IF(BI85=4,ROUND(O85+X85+Y85,2)+GX85,0)</f>
        <v>0</v>
      </c>
      <c r="GR85">
        <v>0</v>
      </c>
      <c r="GS85">
        <v>3</v>
      </c>
      <c r="GT85">
        <v>0</v>
      </c>
      <c r="GU85" t="s">
        <v>3</v>
      </c>
      <c r="GV85">
        <f t="shared" si="80"/>
        <v>0</v>
      </c>
      <c r="GW85">
        <v>1</v>
      </c>
      <c r="GX85">
        <f t="shared" si="81"/>
        <v>0</v>
      </c>
      <c r="HA85">
        <v>0</v>
      </c>
      <c r="HB85">
        <v>0</v>
      </c>
      <c r="HC85">
        <f t="shared" si="82"/>
        <v>0</v>
      </c>
      <c r="IK85">
        <v>0</v>
      </c>
    </row>
    <row r="86" spans="1:245" x14ac:dyDescent="0.2">
      <c r="A86">
        <v>17</v>
      </c>
      <c r="B86">
        <v>1</v>
      </c>
      <c r="C86">
        <f>ROW(SmtRes!A166)</f>
        <v>166</v>
      </c>
      <c r="D86">
        <f>ROW(EtalonRes!A163)</f>
        <v>163</v>
      </c>
      <c r="E86" t="s">
        <v>286</v>
      </c>
      <c r="F86" t="s">
        <v>287</v>
      </c>
      <c r="G86" t="s">
        <v>288</v>
      </c>
      <c r="H86" t="s">
        <v>289</v>
      </c>
      <c r="I86">
        <f>ROUND((2.1*2+0.9)*17/100,9)</f>
        <v>0.86699999999999999</v>
      </c>
      <c r="J86">
        <v>0</v>
      </c>
      <c r="O86">
        <f t="shared" si="53"/>
        <v>1827.54</v>
      </c>
      <c r="P86">
        <f t="shared" si="54"/>
        <v>7.94</v>
      </c>
      <c r="Q86">
        <f t="shared" si="55"/>
        <v>37.78</v>
      </c>
      <c r="R86">
        <f t="shared" si="56"/>
        <v>20.37</v>
      </c>
      <c r="S86">
        <f t="shared" si="57"/>
        <v>1781.82</v>
      </c>
      <c r="T86">
        <f t="shared" si="58"/>
        <v>0</v>
      </c>
      <c r="U86">
        <f t="shared" si="59"/>
        <v>8.1633867569999996</v>
      </c>
      <c r="V86">
        <f t="shared" si="60"/>
        <v>0</v>
      </c>
      <c r="W86">
        <f t="shared" si="61"/>
        <v>0</v>
      </c>
      <c r="X86">
        <f t="shared" si="62"/>
        <v>1514.55</v>
      </c>
      <c r="Y86">
        <f t="shared" si="63"/>
        <v>730.55</v>
      </c>
      <c r="AA86">
        <v>44962055</v>
      </c>
      <c r="AB86">
        <f t="shared" si="64"/>
        <v>102.62050000000001</v>
      </c>
      <c r="AC86">
        <f t="shared" si="51"/>
        <v>1.75</v>
      </c>
      <c r="AD86">
        <f>ROUND(((ET86*1.25)),6)</f>
        <v>4.6500000000000004</v>
      </c>
      <c r="AE86">
        <f>ROUND(((EU86*1.25)),6)</f>
        <v>1.1000000000000001</v>
      </c>
      <c r="AF86">
        <f>ROUND(((EV86*1.15)),6)</f>
        <v>96.220500000000001</v>
      </c>
      <c r="AG86">
        <f t="shared" si="65"/>
        <v>0</v>
      </c>
      <c r="AH86">
        <f>((EW86*1.15))</f>
        <v>8.9930000000000003</v>
      </c>
      <c r="AI86">
        <f>((EX86*1.25))</f>
        <v>0</v>
      </c>
      <c r="AJ86">
        <f t="shared" si="66"/>
        <v>0</v>
      </c>
      <c r="AK86">
        <v>89.14</v>
      </c>
      <c r="AL86">
        <v>1.75</v>
      </c>
      <c r="AM86">
        <v>3.72</v>
      </c>
      <c r="AN86">
        <v>0.88</v>
      </c>
      <c r="AO86">
        <v>83.67</v>
      </c>
      <c r="AP86">
        <v>0</v>
      </c>
      <c r="AQ86">
        <v>7.82</v>
      </c>
      <c r="AR86">
        <v>0</v>
      </c>
      <c r="AS86">
        <v>0</v>
      </c>
      <c r="AT86">
        <v>85</v>
      </c>
      <c r="AU86">
        <v>41</v>
      </c>
      <c r="AV86">
        <v>1.0469999999999999</v>
      </c>
      <c r="AW86">
        <v>1</v>
      </c>
      <c r="AZ86">
        <v>1</v>
      </c>
      <c r="BA86">
        <v>20.399999999999999</v>
      </c>
      <c r="BB86">
        <v>8.9499999999999993</v>
      </c>
      <c r="BC86">
        <v>5.23</v>
      </c>
      <c r="BD86" t="s">
        <v>3</v>
      </c>
      <c r="BE86" t="s">
        <v>3</v>
      </c>
      <c r="BF86" t="s">
        <v>3</v>
      </c>
      <c r="BG86" t="s">
        <v>3</v>
      </c>
      <c r="BH86">
        <v>0</v>
      </c>
      <c r="BI86">
        <v>1</v>
      </c>
      <c r="BJ86" t="s">
        <v>290</v>
      </c>
      <c r="BM86">
        <v>81</v>
      </c>
      <c r="BN86">
        <v>0</v>
      </c>
      <c r="BO86" t="s">
        <v>287</v>
      </c>
      <c r="BP86">
        <v>1</v>
      </c>
      <c r="BQ86">
        <v>30</v>
      </c>
      <c r="BR86">
        <v>0</v>
      </c>
      <c r="BS86">
        <v>20.399999999999999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85</v>
      </c>
      <c r="CA86">
        <v>41</v>
      </c>
      <c r="CE86">
        <v>0</v>
      </c>
      <c r="CF86">
        <v>0</v>
      </c>
      <c r="CG86">
        <v>0</v>
      </c>
      <c r="CM86">
        <v>0</v>
      </c>
      <c r="CN86" t="s">
        <v>16</v>
      </c>
      <c r="CO86">
        <v>0</v>
      </c>
      <c r="CP86">
        <f t="shared" si="67"/>
        <v>1827.54</v>
      </c>
      <c r="CQ86">
        <f t="shared" si="68"/>
        <v>9.1524999999999999</v>
      </c>
      <c r="CR86">
        <f t="shared" si="69"/>
        <v>43.573522499999996</v>
      </c>
      <c r="CS86">
        <f t="shared" si="70"/>
        <v>23.494679999999999</v>
      </c>
      <c r="CT86">
        <f t="shared" si="71"/>
        <v>2055.1544153999998</v>
      </c>
      <c r="CU86">
        <f t="shared" si="72"/>
        <v>0</v>
      </c>
      <c r="CV86">
        <f t="shared" si="73"/>
        <v>9.4156709999999997</v>
      </c>
      <c r="CW86">
        <f t="shared" si="74"/>
        <v>0</v>
      </c>
      <c r="CX86">
        <f t="shared" si="75"/>
        <v>0</v>
      </c>
      <c r="CY86">
        <f t="shared" si="76"/>
        <v>1514.5469999999998</v>
      </c>
      <c r="CZ86">
        <f t="shared" si="77"/>
        <v>730.54619999999989</v>
      </c>
      <c r="DC86" t="s">
        <v>3</v>
      </c>
      <c r="DD86" t="s">
        <v>3</v>
      </c>
      <c r="DE86" t="s">
        <v>17</v>
      </c>
      <c r="DF86" t="s">
        <v>17</v>
      </c>
      <c r="DG86" t="s">
        <v>18</v>
      </c>
      <c r="DH86" t="s">
        <v>3</v>
      </c>
      <c r="DI86" t="s">
        <v>18</v>
      </c>
      <c r="DJ86" t="s">
        <v>17</v>
      </c>
      <c r="DK86" t="s">
        <v>3</v>
      </c>
      <c r="DL86" t="s">
        <v>3</v>
      </c>
      <c r="DM86" t="s">
        <v>3</v>
      </c>
      <c r="DN86">
        <v>105</v>
      </c>
      <c r="DO86">
        <v>70</v>
      </c>
      <c r="DP86">
        <v>1.0469999999999999</v>
      </c>
      <c r="DQ86">
        <v>1</v>
      </c>
      <c r="DU86">
        <v>1013</v>
      </c>
      <c r="DV86" t="s">
        <v>289</v>
      </c>
      <c r="DW86" t="s">
        <v>289</v>
      </c>
      <c r="DX86">
        <v>1</v>
      </c>
      <c r="EE86">
        <v>41867529</v>
      </c>
      <c r="EF86">
        <v>30</v>
      </c>
      <c r="EG86" t="s">
        <v>19</v>
      </c>
      <c r="EH86">
        <v>0</v>
      </c>
      <c r="EI86" t="s">
        <v>3</v>
      </c>
      <c r="EJ86">
        <v>1</v>
      </c>
      <c r="EK86">
        <v>81</v>
      </c>
      <c r="EL86" t="s">
        <v>277</v>
      </c>
      <c r="EM86" t="s">
        <v>278</v>
      </c>
      <c r="EO86" t="s">
        <v>22</v>
      </c>
      <c r="EQ86">
        <v>0</v>
      </c>
      <c r="ER86">
        <v>89.14</v>
      </c>
      <c r="ES86">
        <v>1.75</v>
      </c>
      <c r="ET86">
        <v>3.72</v>
      </c>
      <c r="EU86">
        <v>0.88</v>
      </c>
      <c r="EV86">
        <v>83.67</v>
      </c>
      <c r="EW86">
        <v>7.82</v>
      </c>
      <c r="EX86">
        <v>0</v>
      </c>
      <c r="EY86">
        <v>0</v>
      </c>
      <c r="FQ86">
        <v>0</v>
      </c>
      <c r="FR86">
        <f t="shared" si="78"/>
        <v>0</v>
      </c>
      <c r="FS86">
        <v>0</v>
      </c>
      <c r="FX86">
        <v>105</v>
      </c>
      <c r="FY86">
        <v>70</v>
      </c>
      <c r="GA86" t="s">
        <v>3</v>
      </c>
      <c r="GD86">
        <v>0</v>
      </c>
      <c r="GF86">
        <v>-321072502</v>
      </c>
      <c r="GG86">
        <v>2</v>
      </c>
      <c r="GH86">
        <v>1</v>
      </c>
      <c r="GI86">
        <v>2</v>
      </c>
      <c r="GJ86">
        <v>0</v>
      </c>
      <c r="GK86">
        <f>ROUND(R86*(R12)/100,2)</f>
        <v>31.98</v>
      </c>
      <c r="GL86">
        <f t="shared" si="79"/>
        <v>0</v>
      </c>
      <c r="GM86">
        <f>ROUND(O86+X86+Y86+GK86,2)+GX86</f>
        <v>4104.62</v>
      </c>
      <c r="GN86">
        <f>IF(OR(BI86=0,BI86=1),ROUND(O86+X86+Y86+GK86,2),0)</f>
        <v>4104.62</v>
      </c>
      <c r="GO86">
        <f>IF(BI86=2,ROUND(O86+X86+Y86+GK86,2),0)</f>
        <v>0</v>
      </c>
      <c r="GP86">
        <f>IF(BI86=4,ROUND(O86+X86+Y86+GK86,2)+GX86,0)</f>
        <v>0</v>
      </c>
      <c r="GR86">
        <v>0</v>
      </c>
      <c r="GS86">
        <v>3</v>
      </c>
      <c r="GT86">
        <v>0</v>
      </c>
      <c r="GU86" t="s">
        <v>3</v>
      </c>
      <c r="GV86">
        <f t="shared" si="80"/>
        <v>0</v>
      </c>
      <c r="GW86">
        <v>1</v>
      </c>
      <c r="GX86">
        <f t="shared" si="81"/>
        <v>0</v>
      </c>
      <c r="HA86">
        <v>0</v>
      </c>
      <c r="HB86">
        <v>0</v>
      </c>
      <c r="HC86">
        <f t="shared" si="82"/>
        <v>0</v>
      </c>
      <c r="IK86">
        <v>0</v>
      </c>
    </row>
    <row r="87" spans="1:245" x14ac:dyDescent="0.2">
      <c r="A87">
        <v>18</v>
      </c>
      <c r="B87">
        <v>1</v>
      </c>
      <c r="C87">
        <v>165</v>
      </c>
      <c r="E87" t="s">
        <v>291</v>
      </c>
      <c r="F87" t="s">
        <v>292</v>
      </c>
      <c r="G87" t="s">
        <v>293</v>
      </c>
      <c r="H87" t="s">
        <v>26</v>
      </c>
      <c r="I87">
        <f>I86*J87</f>
        <v>97.103999999999999</v>
      </c>
      <c r="J87">
        <v>112</v>
      </c>
      <c r="O87">
        <f t="shared" si="53"/>
        <v>2408.5100000000002</v>
      </c>
      <c r="P87">
        <f t="shared" si="54"/>
        <v>2408.5100000000002</v>
      </c>
      <c r="Q87">
        <f t="shared" si="55"/>
        <v>0</v>
      </c>
      <c r="R87">
        <f t="shared" si="56"/>
        <v>0</v>
      </c>
      <c r="S87">
        <f t="shared" si="57"/>
        <v>0</v>
      </c>
      <c r="T87">
        <f t="shared" si="58"/>
        <v>0</v>
      </c>
      <c r="U87">
        <f t="shared" si="59"/>
        <v>0</v>
      </c>
      <c r="V87">
        <f t="shared" si="60"/>
        <v>0</v>
      </c>
      <c r="W87">
        <f t="shared" si="61"/>
        <v>0</v>
      </c>
      <c r="X87">
        <f t="shared" si="62"/>
        <v>0</v>
      </c>
      <c r="Y87">
        <f t="shared" si="63"/>
        <v>0</v>
      </c>
      <c r="AA87">
        <v>44962055</v>
      </c>
      <c r="AB87">
        <f t="shared" si="64"/>
        <v>4.0199999999999996</v>
      </c>
      <c r="AC87">
        <f t="shared" si="51"/>
        <v>4.0199999999999996</v>
      </c>
      <c r="AD87">
        <f>ROUND((ET87),6)</f>
        <v>0</v>
      </c>
      <c r="AE87">
        <f>ROUND((EU87),6)</f>
        <v>0</v>
      </c>
      <c r="AF87">
        <f>ROUND((EV87),6)</f>
        <v>0</v>
      </c>
      <c r="AG87">
        <f t="shared" si="65"/>
        <v>0</v>
      </c>
      <c r="AH87">
        <f>(EW87)</f>
        <v>0</v>
      </c>
      <c r="AI87">
        <f>(EX87)</f>
        <v>0</v>
      </c>
      <c r="AJ87">
        <f t="shared" si="66"/>
        <v>0</v>
      </c>
      <c r="AK87">
        <v>4.0199999999999996</v>
      </c>
      <c r="AL87">
        <v>4.0199999999999996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6.17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294</v>
      </c>
      <c r="BM87">
        <v>81</v>
      </c>
      <c r="BN87">
        <v>0</v>
      </c>
      <c r="BO87" t="s">
        <v>292</v>
      </c>
      <c r="BP87">
        <v>1</v>
      </c>
      <c r="BQ87">
        <v>30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E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67"/>
        <v>2408.5100000000002</v>
      </c>
      <c r="CQ87">
        <f t="shared" si="68"/>
        <v>24.803399999999996</v>
      </c>
      <c r="CR87">
        <f t="shared" si="69"/>
        <v>0</v>
      </c>
      <c r="CS87">
        <f t="shared" si="70"/>
        <v>0</v>
      </c>
      <c r="CT87">
        <f t="shared" si="71"/>
        <v>0</v>
      </c>
      <c r="CU87">
        <f t="shared" si="72"/>
        <v>0</v>
      </c>
      <c r="CV87">
        <f t="shared" si="73"/>
        <v>0</v>
      </c>
      <c r="CW87">
        <f t="shared" si="74"/>
        <v>0</v>
      </c>
      <c r="CX87">
        <f t="shared" si="75"/>
        <v>0</v>
      </c>
      <c r="CY87">
        <f t="shared" si="76"/>
        <v>0</v>
      </c>
      <c r="CZ87">
        <f t="shared" si="77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105</v>
      </c>
      <c r="DO87">
        <v>70</v>
      </c>
      <c r="DP87">
        <v>1.0469999999999999</v>
      </c>
      <c r="DQ87">
        <v>1</v>
      </c>
      <c r="DU87">
        <v>1003</v>
      </c>
      <c r="DV87" t="s">
        <v>26</v>
      </c>
      <c r="DW87" t="s">
        <v>26</v>
      </c>
      <c r="DX87">
        <v>1</v>
      </c>
      <c r="EE87">
        <v>41867529</v>
      </c>
      <c r="EF87">
        <v>30</v>
      </c>
      <c r="EG87" t="s">
        <v>19</v>
      </c>
      <c r="EH87">
        <v>0</v>
      </c>
      <c r="EI87" t="s">
        <v>3</v>
      </c>
      <c r="EJ87">
        <v>1</v>
      </c>
      <c r="EK87">
        <v>81</v>
      </c>
      <c r="EL87" t="s">
        <v>277</v>
      </c>
      <c r="EM87" t="s">
        <v>278</v>
      </c>
      <c r="EO87" t="s">
        <v>3</v>
      </c>
      <c r="EQ87">
        <v>0</v>
      </c>
      <c r="ER87">
        <v>4.0199999999999996</v>
      </c>
      <c r="ES87">
        <v>4.0199999999999996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78"/>
        <v>0</v>
      </c>
      <c r="FS87">
        <v>0</v>
      </c>
      <c r="FX87">
        <v>105</v>
      </c>
      <c r="FY87">
        <v>70</v>
      </c>
      <c r="GA87" t="s">
        <v>3</v>
      </c>
      <c r="GD87">
        <v>1</v>
      </c>
      <c r="GF87">
        <v>608690909</v>
      </c>
      <c r="GG87">
        <v>2</v>
      </c>
      <c r="GH87">
        <v>1</v>
      </c>
      <c r="GI87">
        <v>2</v>
      </c>
      <c r="GJ87">
        <v>0</v>
      </c>
      <c r="GK87">
        <v>0</v>
      </c>
      <c r="GL87">
        <f t="shared" si="79"/>
        <v>0</v>
      </c>
      <c r="GM87">
        <f>ROUND(O87+X87+Y87,2)+GX87</f>
        <v>2408.5100000000002</v>
      </c>
      <c r="GN87">
        <f>IF(OR(BI87=0,BI87=1),ROUND(O87+X87+Y87,2),0)</f>
        <v>2408.5100000000002</v>
      </c>
      <c r="GO87">
        <f>IF(BI87=2,ROUND(O87+X87+Y87,2),0)</f>
        <v>0</v>
      </c>
      <c r="GP87">
        <f>IF(BI87=4,ROUND(O87+X87+Y87,2)+GX87,0)</f>
        <v>0</v>
      </c>
      <c r="GR87">
        <v>0</v>
      </c>
      <c r="GS87">
        <v>3</v>
      </c>
      <c r="GT87">
        <v>0</v>
      </c>
      <c r="GU87" t="s">
        <v>3</v>
      </c>
      <c r="GV87">
        <f t="shared" si="80"/>
        <v>0</v>
      </c>
      <c r="GW87">
        <v>1</v>
      </c>
      <c r="GX87">
        <f t="shared" si="81"/>
        <v>0</v>
      </c>
      <c r="HA87">
        <v>0</v>
      </c>
      <c r="HB87">
        <v>0</v>
      </c>
      <c r="HC87">
        <f t="shared" si="82"/>
        <v>0</v>
      </c>
      <c r="IK87">
        <v>0</v>
      </c>
    </row>
    <row r="88" spans="1:245" x14ac:dyDescent="0.2">
      <c r="A88">
        <v>17</v>
      </c>
      <c r="B88">
        <v>1</v>
      </c>
      <c r="C88">
        <f>ROW(SmtRes!A173)</f>
        <v>173</v>
      </c>
      <c r="D88">
        <f>ROW(EtalonRes!A170)</f>
        <v>170</v>
      </c>
      <c r="E88" t="s">
        <v>295</v>
      </c>
      <c r="F88" t="s">
        <v>296</v>
      </c>
      <c r="G88" t="s">
        <v>297</v>
      </c>
      <c r="H88" t="s">
        <v>298</v>
      </c>
      <c r="I88">
        <v>2</v>
      </c>
      <c r="J88">
        <v>0</v>
      </c>
      <c r="O88">
        <f t="shared" ref="O88:O93" si="92">ROUND(CP88,2)</f>
        <v>768.78</v>
      </c>
      <c r="P88">
        <f t="shared" ref="P88:P93" si="93">ROUND(CQ88*I88,2)</f>
        <v>3.73</v>
      </c>
      <c r="Q88">
        <f t="shared" ref="Q88:Q93" si="94">ROUND(CR88*I88,2)</f>
        <v>34.07</v>
      </c>
      <c r="R88">
        <f t="shared" ref="R88:R93" si="95">ROUND(CS88*I88,2)</f>
        <v>4.8099999999999996</v>
      </c>
      <c r="S88">
        <f t="shared" ref="S88:S93" si="96">ROUND(CT88*I88,2)</f>
        <v>730.98</v>
      </c>
      <c r="T88">
        <f t="shared" ref="T88:T93" si="97">ROUND(CU88*I88,2)</f>
        <v>0</v>
      </c>
      <c r="U88">
        <f t="shared" ref="U88:U93" si="98">CV88*I88</f>
        <v>2.6729909999999997</v>
      </c>
      <c r="V88">
        <f t="shared" ref="V88:V93" si="99">CW88*I88</f>
        <v>0</v>
      </c>
      <c r="W88">
        <f t="shared" ref="W88:W93" si="100">ROUND(CX88*I88,2)</f>
        <v>0</v>
      </c>
      <c r="X88">
        <f t="shared" ref="X88:X93" si="101">ROUND(CY88,2)</f>
        <v>533.62</v>
      </c>
      <c r="Y88">
        <f t="shared" ref="Y88:Y93" si="102">ROUND(CZ88,2)</f>
        <v>299.7</v>
      </c>
      <c r="AA88">
        <v>44962055</v>
      </c>
      <c r="AB88">
        <f t="shared" ref="AB88:AB93" si="103">ROUND((AC88+AD88+AF88),6)</f>
        <v>20.009499999999999</v>
      </c>
      <c r="AC88">
        <f t="shared" si="51"/>
        <v>0.41</v>
      </c>
      <c r="AD88">
        <f>ROUND(((ET88*1.25)),6)</f>
        <v>2.4874999999999998</v>
      </c>
      <c r="AE88">
        <f>ROUND(((EU88*1.25)),6)</f>
        <v>0.1125</v>
      </c>
      <c r="AF88">
        <f>ROUND(((EV88*1.15)),6)</f>
        <v>17.111999999999998</v>
      </c>
      <c r="AG88">
        <f t="shared" ref="AG88:AG93" si="104">ROUND((AP88),6)</f>
        <v>0</v>
      </c>
      <c r="AH88">
        <f>((EW88*1.15))</f>
        <v>1.2765</v>
      </c>
      <c r="AI88">
        <f>((EX88*1.25))</f>
        <v>0</v>
      </c>
      <c r="AJ88">
        <f t="shared" ref="AJ88:AJ93" si="105">(AS88)</f>
        <v>0</v>
      </c>
      <c r="AK88">
        <v>17.28</v>
      </c>
      <c r="AL88">
        <v>0.41</v>
      </c>
      <c r="AM88">
        <v>1.99</v>
      </c>
      <c r="AN88">
        <v>0.09</v>
      </c>
      <c r="AO88">
        <v>14.88</v>
      </c>
      <c r="AP88">
        <v>0</v>
      </c>
      <c r="AQ88">
        <v>1.1100000000000001</v>
      </c>
      <c r="AR88">
        <v>0</v>
      </c>
      <c r="AS88">
        <v>0</v>
      </c>
      <c r="AT88">
        <v>73</v>
      </c>
      <c r="AU88">
        <v>41</v>
      </c>
      <c r="AV88">
        <v>1.0469999999999999</v>
      </c>
      <c r="AW88">
        <v>1.002</v>
      </c>
      <c r="AZ88">
        <v>1</v>
      </c>
      <c r="BA88">
        <v>20.399999999999999</v>
      </c>
      <c r="BB88">
        <v>6.54</v>
      </c>
      <c r="BC88">
        <v>4.54</v>
      </c>
      <c r="BD88" t="s">
        <v>3</v>
      </c>
      <c r="BE88" t="s">
        <v>3</v>
      </c>
      <c r="BF88" t="s">
        <v>3</v>
      </c>
      <c r="BG88" t="s">
        <v>3</v>
      </c>
      <c r="BH88">
        <v>0</v>
      </c>
      <c r="BI88">
        <v>1</v>
      </c>
      <c r="BJ88" t="s">
        <v>299</v>
      </c>
      <c r="BM88">
        <v>87</v>
      </c>
      <c r="BN88">
        <v>0</v>
      </c>
      <c r="BO88" t="s">
        <v>296</v>
      </c>
      <c r="BP88">
        <v>1</v>
      </c>
      <c r="BQ88">
        <v>30</v>
      </c>
      <c r="BR88">
        <v>0</v>
      </c>
      <c r="BS88">
        <v>20.399999999999999</v>
      </c>
      <c r="BT88">
        <v>1</v>
      </c>
      <c r="BU88">
        <v>1</v>
      </c>
      <c r="BV88">
        <v>1</v>
      </c>
      <c r="BW88">
        <v>1</v>
      </c>
      <c r="BX88">
        <v>1</v>
      </c>
      <c r="BY88" t="s">
        <v>3</v>
      </c>
      <c r="BZ88">
        <v>73</v>
      </c>
      <c r="CA88">
        <v>41</v>
      </c>
      <c r="CE88">
        <v>0</v>
      </c>
      <c r="CF88">
        <v>0</v>
      </c>
      <c r="CG88">
        <v>0</v>
      </c>
      <c r="CM88">
        <v>0</v>
      </c>
      <c r="CN88" t="s">
        <v>16</v>
      </c>
      <c r="CO88">
        <v>0</v>
      </c>
      <c r="CP88">
        <f t="shared" ref="CP88:CP93" si="106">(P88+Q88+S88)</f>
        <v>768.78</v>
      </c>
      <c r="CQ88">
        <f t="shared" ref="CQ88:CQ93" si="107">(AC88*BC88*AW88)</f>
        <v>1.8651228</v>
      </c>
      <c r="CR88">
        <f t="shared" ref="CR88:CR93" si="108">(AD88*BB88*AV88)</f>
        <v>17.032857749999998</v>
      </c>
      <c r="CS88">
        <f t="shared" ref="CS88:CS93" si="109">(AE88*BS88*AV88)</f>
        <v>2.4028649999999998</v>
      </c>
      <c r="CT88">
        <f t="shared" ref="CT88:CT93" si="110">(AF88*BA88*AV88)</f>
        <v>365.4917855999999</v>
      </c>
      <c r="CU88">
        <f t="shared" ref="CU88:CU93" si="111">AG88</f>
        <v>0</v>
      </c>
      <c r="CV88">
        <f t="shared" ref="CV88:CV93" si="112">(AH88*AV88)</f>
        <v>1.3364954999999998</v>
      </c>
      <c r="CW88">
        <f t="shared" ref="CW88:CW93" si="113">AI88</f>
        <v>0</v>
      </c>
      <c r="CX88">
        <f t="shared" ref="CX88:CX93" si="114">AJ88</f>
        <v>0</v>
      </c>
      <c r="CY88">
        <f t="shared" ref="CY88:CY93" si="115">S88*(BZ88/100)</f>
        <v>533.61540000000002</v>
      </c>
      <c r="CZ88">
        <f t="shared" ref="CZ88:CZ93" si="116">S88*(CA88/100)</f>
        <v>299.70179999999999</v>
      </c>
      <c r="DC88" t="s">
        <v>3</v>
      </c>
      <c r="DD88" t="s">
        <v>3</v>
      </c>
      <c r="DE88" t="s">
        <v>17</v>
      </c>
      <c r="DF88" t="s">
        <v>17</v>
      </c>
      <c r="DG88" t="s">
        <v>18</v>
      </c>
      <c r="DH88" t="s">
        <v>3</v>
      </c>
      <c r="DI88" t="s">
        <v>18</v>
      </c>
      <c r="DJ88" t="s">
        <v>17</v>
      </c>
      <c r="DK88" t="s">
        <v>3</v>
      </c>
      <c r="DL88" t="s">
        <v>3</v>
      </c>
      <c r="DM88" t="s">
        <v>3</v>
      </c>
      <c r="DN88">
        <v>91</v>
      </c>
      <c r="DO88">
        <v>70</v>
      </c>
      <c r="DP88">
        <v>1.0469999999999999</v>
      </c>
      <c r="DQ88">
        <v>1.002</v>
      </c>
      <c r="DU88">
        <v>1013</v>
      </c>
      <c r="DV88" t="s">
        <v>298</v>
      </c>
      <c r="DW88" t="s">
        <v>298</v>
      </c>
      <c r="DX88">
        <v>1</v>
      </c>
      <c r="EE88">
        <v>41867535</v>
      </c>
      <c r="EF88">
        <v>30</v>
      </c>
      <c r="EG88" t="s">
        <v>19</v>
      </c>
      <c r="EH88">
        <v>0</v>
      </c>
      <c r="EI88" t="s">
        <v>3</v>
      </c>
      <c r="EJ88">
        <v>1</v>
      </c>
      <c r="EK88">
        <v>87</v>
      </c>
      <c r="EL88" t="s">
        <v>300</v>
      </c>
      <c r="EM88" t="s">
        <v>301</v>
      </c>
      <c r="EO88" t="s">
        <v>22</v>
      </c>
      <c r="EQ88">
        <v>0</v>
      </c>
      <c r="ER88">
        <v>17.28</v>
      </c>
      <c r="ES88">
        <v>0.41</v>
      </c>
      <c r="ET88">
        <v>1.99</v>
      </c>
      <c r="EU88">
        <v>0.09</v>
      </c>
      <c r="EV88">
        <v>14.88</v>
      </c>
      <c r="EW88">
        <v>1.1100000000000001</v>
      </c>
      <c r="EX88">
        <v>0</v>
      </c>
      <c r="EY88">
        <v>0</v>
      </c>
      <c r="FQ88">
        <v>0</v>
      </c>
      <c r="FR88">
        <f t="shared" ref="FR88:FR93" si="117">ROUND(IF(AND(BH88=3,BI88=3),P88,0),2)</f>
        <v>0</v>
      </c>
      <c r="FS88">
        <v>0</v>
      </c>
      <c r="FX88">
        <v>91</v>
      </c>
      <c r="FY88">
        <v>70</v>
      </c>
      <c r="GA88" t="s">
        <v>3</v>
      </c>
      <c r="GD88">
        <v>0</v>
      </c>
      <c r="GF88">
        <v>-240858747</v>
      </c>
      <c r="GG88">
        <v>2</v>
      </c>
      <c r="GH88">
        <v>1</v>
      </c>
      <c r="GI88">
        <v>2</v>
      </c>
      <c r="GJ88">
        <v>0</v>
      </c>
      <c r="GK88">
        <f>ROUND(R88*(R12)/100,2)</f>
        <v>7.55</v>
      </c>
      <c r="GL88">
        <f t="shared" ref="GL88:GL93" si="118">ROUND(IF(AND(BH88=3,BI88=3,FS88&lt;&gt;0),P88,0),2)</f>
        <v>0</v>
      </c>
      <c r="GM88">
        <f>ROUND(O88+X88+Y88+GK88,2)+GX88</f>
        <v>1609.65</v>
      </c>
      <c r="GN88">
        <f>IF(OR(BI88=0,BI88=1),ROUND(O88+X88+Y88+GK88,2),0)</f>
        <v>1609.65</v>
      </c>
      <c r="GO88">
        <f>IF(BI88=2,ROUND(O88+X88+Y88+GK88,2),0)</f>
        <v>0</v>
      </c>
      <c r="GP88">
        <f>IF(BI88=4,ROUND(O88+X88+Y88+GK88,2)+GX88,0)</f>
        <v>0</v>
      </c>
      <c r="GR88">
        <v>0</v>
      </c>
      <c r="GS88">
        <v>3</v>
      </c>
      <c r="GT88">
        <v>0</v>
      </c>
      <c r="GU88" t="s">
        <v>3</v>
      </c>
      <c r="GV88">
        <f t="shared" ref="GV88:GV93" si="119">ROUND((GT88),6)</f>
        <v>0</v>
      </c>
      <c r="GW88">
        <v>1</v>
      </c>
      <c r="GX88">
        <f t="shared" ref="GX88:GX93" si="120">ROUND(HC88*I88,2)</f>
        <v>0</v>
      </c>
      <c r="HA88">
        <v>0</v>
      </c>
      <c r="HB88">
        <v>0</v>
      </c>
      <c r="HC88">
        <f t="shared" ref="HC88:HC93" si="121">GV88*GW88</f>
        <v>0</v>
      </c>
      <c r="IK88">
        <v>0</v>
      </c>
    </row>
    <row r="89" spans="1:245" x14ac:dyDescent="0.2">
      <c r="A89">
        <v>18</v>
      </c>
      <c r="B89">
        <v>1</v>
      </c>
      <c r="C89">
        <v>173</v>
      </c>
      <c r="E89" t="s">
        <v>302</v>
      </c>
      <c r="F89" t="s">
        <v>303</v>
      </c>
      <c r="G89" t="s">
        <v>304</v>
      </c>
      <c r="H89" t="s">
        <v>113</v>
      </c>
      <c r="I89">
        <f>I88*J89</f>
        <v>2</v>
      </c>
      <c r="J89">
        <v>1</v>
      </c>
      <c r="O89">
        <f t="shared" si="92"/>
        <v>11094.11</v>
      </c>
      <c r="P89">
        <f t="shared" si="93"/>
        <v>11094.11</v>
      </c>
      <c r="Q89">
        <f t="shared" si="94"/>
        <v>0</v>
      </c>
      <c r="R89">
        <f t="shared" si="95"/>
        <v>0</v>
      </c>
      <c r="S89">
        <f t="shared" si="96"/>
        <v>0</v>
      </c>
      <c r="T89">
        <f t="shared" si="97"/>
        <v>0</v>
      </c>
      <c r="U89">
        <f t="shared" si="98"/>
        <v>0</v>
      </c>
      <c r="V89">
        <f t="shared" si="99"/>
        <v>0</v>
      </c>
      <c r="W89">
        <f t="shared" si="100"/>
        <v>0</v>
      </c>
      <c r="X89">
        <f t="shared" si="101"/>
        <v>0</v>
      </c>
      <c r="Y89">
        <f t="shared" si="102"/>
        <v>0</v>
      </c>
      <c r="AA89">
        <v>44962055</v>
      </c>
      <c r="AB89">
        <f t="shared" si="103"/>
        <v>1390.95</v>
      </c>
      <c r="AC89">
        <f t="shared" si="51"/>
        <v>1390.95</v>
      </c>
      <c r="AD89">
        <f>ROUND((ET89),6)</f>
        <v>0</v>
      </c>
      <c r="AE89">
        <f>ROUND((EU89),6)</f>
        <v>0</v>
      </c>
      <c r="AF89">
        <f>ROUND((EV89),6)</f>
        <v>0</v>
      </c>
      <c r="AG89">
        <f t="shared" si="104"/>
        <v>0</v>
      </c>
      <c r="AH89">
        <f>(EW89)</f>
        <v>0</v>
      </c>
      <c r="AI89">
        <f>(EX89)</f>
        <v>0</v>
      </c>
      <c r="AJ89">
        <f t="shared" si="105"/>
        <v>0</v>
      </c>
      <c r="AK89">
        <v>1390.95</v>
      </c>
      <c r="AL89">
        <v>1390.95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1.002</v>
      </c>
      <c r="AZ89">
        <v>1</v>
      </c>
      <c r="BA89">
        <v>1</v>
      </c>
      <c r="BB89">
        <v>1</v>
      </c>
      <c r="BC89">
        <v>3.98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305</v>
      </c>
      <c r="BM89">
        <v>87</v>
      </c>
      <c r="BN89">
        <v>0</v>
      </c>
      <c r="BO89" t="s">
        <v>303</v>
      </c>
      <c r="BP89">
        <v>1</v>
      </c>
      <c r="BQ89">
        <v>30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E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06"/>
        <v>11094.11</v>
      </c>
      <c r="CQ89">
        <f t="shared" si="107"/>
        <v>5547.0529619999998</v>
      </c>
      <c r="CR89">
        <f t="shared" si="108"/>
        <v>0</v>
      </c>
      <c r="CS89">
        <f t="shared" si="109"/>
        <v>0</v>
      </c>
      <c r="CT89">
        <f t="shared" si="110"/>
        <v>0</v>
      </c>
      <c r="CU89">
        <f t="shared" si="111"/>
        <v>0</v>
      </c>
      <c r="CV89">
        <f t="shared" si="112"/>
        <v>0</v>
      </c>
      <c r="CW89">
        <f t="shared" si="113"/>
        <v>0</v>
      </c>
      <c r="CX89">
        <f t="shared" si="114"/>
        <v>0</v>
      </c>
      <c r="CY89">
        <f t="shared" si="115"/>
        <v>0</v>
      </c>
      <c r="CZ89">
        <f t="shared" si="116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91</v>
      </c>
      <c r="DO89">
        <v>70</v>
      </c>
      <c r="DP89">
        <v>1.0469999999999999</v>
      </c>
      <c r="DQ89">
        <v>1.002</v>
      </c>
      <c r="DU89">
        <v>1013</v>
      </c>
      <c r="DV89" t="s">
        <v>113</v>
      </c>
      <c r="DW89" t="s">
        <v>113</v>
      </c>
      <c r="DX89">
        <v>1</v>
      </c>
      <c r="EE89">
        <v>41867535</v>
      </c>
      <c r="EF89">
        <v>30</v>
      </c>
      <c r="EG89" t="s">
        <v>19</v>
      </c>
      <c r="EH89">
        <v>0</v>
      </c>
      <c r="EI89" t="s">
        <v>3</v>
      </c>
      <c r="EJ89">
        <v>1</v>
      </c>
      <c r="EK89">
        <v>87</v>
      </c>
      <c r="EL89" t="s">
        <v>300</v>
      </c>
      <c r="EM89" t="s">
        <v>301</v>
      </c>
      <c r="EO89" t="s">
        <v>3</v>
      </c>
      <c r="EQ89">
        <v>0</v>
      </c>
      <c r="ER89">
        <v>1390.95</v>
      </c>
      <c r="ES89">
        <v>1390.95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17"/>
        <v>0</v>
      </c>
      <c r="FS89">
        <v>0</v>
      </c>
      <c r="FX89">
        <v>91</v>
      </c>
      <c r="FY89">
        <v>70</v>
      </c>
      <c r="GA89" t="s">
        <v>3</v>
      </c>
      <c r="GD89">
        <v>1</v>
      </c>
      <c r="GF89">
        <v>568915023</v>
      </c>
      <c r="GG89">
        <v>2</v>
      </c>
      <c r="GH89">
        <v>1</v>
      </c>
      <c r="GI89">
        <v>2</v>
      </c>
      <c r="GJ89">
        <v>0</v>
      </c>
      <c r="GK89">
        <v>0</v>
      </c>
      <c r="GL89">
        <f t="shared" si="118"/>
        <v>0</v>
      </c>
      <c r="GM89">
        <f>ROUND(O89+X89+Y89,2)+GX89</f>
        <v>11094.11</v>
      </c>
      <c r="GN89">
        <f>IF(OR(BI89=0,BI89=1),ROUND(O89+X89+Y89,2),0)</f>
        <v>11094.11</v>
      </c>
      <c r="GO89">
        <f>IF(BI89=2,ROUND(O89+X89+Y89,2),0)</f>
        <v>0</v>
      </c>
      <c r="GP89">
        <f>IF(BI89=4,ROUND(O89+X89+Y89,2)+GX89,0)</f>
        <v>0</v>
      </c>
      <c r="GR89">
        <v>0</v>
      </c>
      <c r="GS89">
        <v>3</v>
      </c>
      <c r="GT89">
        <v>0</v>
      </c>
      <c r="GU89" t="s">
        <v>3</v>
      </c>
      <c r="GV89">
        <f t="shared" si="119"/>
        <v>0</v>
      </c>
      <c r="GW89">
        <v>1</v>
      </c>
      <c r="GX89">
        <f t="shared" si="120"/>
        <v>0</v>
      </c>
      <c r="HA89">
        <v>0</v>
      </c>
      <c r="HB89">
        <v>0</v>
      </c>
      <c r="HC89">
        <f t="shared" si="121"/>
        <v>0</v>
      </c>
      <c r="IK89">
        <v>0</v>
      </c>
    </row>
    <row r="90" spans="1:245" x14ac:dyDescent="0.2">
      <c r="A90">
        <v>17</v>
      </c>
      <c r="B90">
        <v>1</v>
      </c>
      <c r="C90">
        <f>ROW(SmtRes!A177)</f>
        <v>177</v>
      </c>
      <c r="D90">
        <f>ROW(EtalonRes!A174)</f>
        <v>174</v>
      </c>
      <c r="E90" t="s">
        <v>306</v>
      </c>
      <c r="F90" t="s">
        <v>307</v>
      </c>
      <c r="G90" t="s">
        <v>308</v>
      </c>
      <c r="H90" t="s">
        <v>309</v>
      </c>
      <c r="I90">
        <f>ROUND(17/10,9)</f>
        <v>1.7</v>
      </c>
      <c r="J90">
        <v>0</v>
      </c>
      <c r="O90">
        <f t="shared" si="92"/>
        <v>2494.5700000000002</v>
      </c>
      <c r="P90">
        <f t="shared" si="93"/>
        <v>84.11</v>
      </c>
      <c r="Q90">
        <f t="shared" si="94"/>
        <v>9.0500000000000007</v>
      </c>
      <c r="R90">
        <f t="shared" si="95"/>
        <v>5.45</v>
      </c>
      <c r="S90">
        <f t="shared" si="96"/>
        <v>2401.41</v>
      </c>
      <c r="T90">
        <f t="shared" si="97"/>
        <v>0</v>
      </c>
      <c r="U90">
        <f t="shared" si="98"/>
        <v>8.1261334499999993</v>
      </c>
      <c r="V90">
        <f t="shared" si="99"/>
        <v>0</v>
      </c>
      <c r="W90">
        <f t="shared" si="100"/>
        <v>0</v>
      </c>
      <c r="X90">
        <f t="shared" si="101"/>
        <v>2041.2</v>
      </c>
      <c r="Y90">
        <f t="shared" si="102"/>
        <v>984.58</v>
      </c>
      <c r="AA90">
        <v>44962055</v>
      </c>
      <c r="AB90">
        <f t="shared" si="103"/>
        <v>68.271500000000003</v>
      </c>
      <c r="AC90">
        <f t="shared" si="51"/>
        <v>1.61</v>
      </c>
      <c r="AD90">
        <f>ROUND(((ET90*1.25)),6)</f>
        <v>0.52500000000000002</v>
      </c>
      <c r="AE90">
        <f>ROUND(((EU90*1.25)),6)</f>
        <v>0.15</v>
      </c>
      <c r="AF90">
        <f>ROUND(((EV90*1.15)),6)</f>
        <v>66.136499999999998</v>
      </c>
      <c r="AG90">
        <f t="shared" si="104"/>
        <v>0</v>
      </c>
      <c r="AH90">
        <f>((EW90*1.15))</f>
        <v>4.5655000000000001</v>
      </c>
      <c r="AI90">
        <f>((EX90*1.25))</f>
        <v>0</v>
      </c>
      <c r="AJ90">
        <f t="shared" si="105"/>
        <v>0</v>
      </c>
      <c r="AK90">
        <v>59.54</v>
      </c>
      <c r="AL90">
        <v>1.61</v>
      </c>
      <c r="AM90">
        <v>0.42</v>
      </c>
      <c r="AN90">
        <v>0.12</v>
      </c>
      <c r="AO90">
        <v>57.51</v>
      </c>
      <c r="AP90">
        <v>0</v>
      </c>
      <c r="AQ90">
        <v>3.97</v>
      </c>
      <c r="AR90">
        <v>0</v>
      </c>
      <c r="AS90">
        <v>0</v>
      </c>
      <c r="AT90">
        <v>85</v>
      </c>
      <c r="AU90">
        <v>41</v>
      </c>
      <c r="AV90">
        <v>1.0469999999999999</v>
      </c>
      <c r="AW90">
        <v>1</v>
      </c>
      <c r="AZ90">
        <v>1</v>
      </c>
      <c r="BA90">
        <v>20.399999999999999</v>
      </c>
      <c r="BB90">
        <v>9.69</v>
      </c>
      <c r="BC90">
        <v>30.73</v>
      </c>
      <c r="BD90" t="s">
        <v>3</v>
      </c>
      <c r="BE90" t="s">
        <v>3</v>
      </c>
      <c r="BF90" t="s">
        <v>3</v>
      </c>
      <c r="BG90" t="s">
        <v>3</v>
      </c>
      <c r="BH90">
        <v>0</v>
      </c>
      <c r="BI90">
        <v>1</v>
      </c>
      <c r="BJ90" t="s">
        <v>310</v>
      </c>
      <c r="BM90">
        <v>86</v>
      </c>
      <c r="BN90">
        <v>0</v>
      </c>
      <c r="BO90" t="s">
        <v>307</v>
      </c>
      <c r="BP90">
        <v>1</v>
      </c>
      <c r="BQ90">
        <v>30</v>
      </c>
      <c r="BR90">
        <v>0</v>
      </c>
      <c r="BS90">
        <v>20.399999999999999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3</v>
      </c>
      <c r="BZ90">
        <v>85</v>
      </c>
      <c r="CA90">
        <v>41</v>
      </c>
      <c r="CE90">
        <v>0</v>
      </c>
      <c r="CF90">
        <v>0</v>
      </c>
      <c r="CG90">
        <v>0</v>
      </c>
      <c r="CM90">
        <v>0</v>
      </c>
      <c r="CN90" t="s">
        <v>16</v>
      </c>
      <c r="CO90">
        <v>0</v>
      </c>
      <c r="CP90">
        <f t="shared" si="106"/>
        <v>2494.5699999999997</v>
      </c>
      <c r="CQ90">
        <f t="shared" si="107"/>
        <v>49.475300000000004</v>
      </c>
      <c r="CR90">
        <f t="shared" si="108"/>
        <v>5.3263507499999996</v>
      </c>
      <c r="CS90">
        <f t="shared" si="109"/>
        <v>3.2038199999999994</v>
      </c>
      <c r="CT90">
        <f t="shared" si="110"/>
        <v>1412.5962761999997</v>
      </c>
      <c r="CU90">
        <f t="shared" si="111"/>
        <v>0</v>
      </c>
      <c r="CV90">
        <f t="shared" si="112"/>
        <v>4.7800785000000001</v>
      </c>
      <c r="CW90">
        <f t="shared" si="113"/>
        <v>0</v>
      </c>
      <c r="CX90">
        <f t="shared" si="114"/>
        <v>0</v>
      </c>
      <c r="CY90">
        <f t="shared" si="115"/>
        <v>2041.1984999999997</v>
      </c>
      <c r="CZ90">
        <f t="shared" si="116"/>
        <v>984.57809999999984</v>
      </c>
      <c r="DC90" t="s">
        <v>3</v>
      </c>
      <c r="DD90" t="s">
        <v>3</v>
      </c>
      <c r="DE90" t="s">
        <v>17</v>
      </c>
      <c r="DF90" t="s">
        <v>17</v>
      </c>
      <c r="DG90" t="s">
        <v>18</v>
      </c>
      <c r="DH90" t="s">
        <v>3</v>
      </c>
      <c r="DI90" t="s">
        <v>18</v>
      </c>
      <c r="DJ90" t="s">
        <v>17</v>
      </c>
      <c r="DK90" t="s">
        <v>3</v>
      </c>
      <c r="DL90" t="s">
        <v>3</v>
      </c>
      <c r="DM90" t="s">
        <v>3</v>
      </c>
      <c r="DN90">
        <v>105</v>
      </c>
      <c r="DO90">
        <v>70</v>
      </c>
      <c r="DP90">
        <v>1.0469999999999999</v>
      </c>
      <c r="DQ90">
        <v>1</v>
      </c>
      <c r="DU90">
        <v>1013</v>
      </c>
      <c r="DV90" t="s">
        <v>309</v>
      </c>
      <c r="DW90" t="s">
        <v>309</v>
      </c>
      <c r="DX90">
        <v>1</v>
      </c>
      <c r="EE90">
        <v>41867534</v>
      </c>
      <c r="EF90">
        <v>30</v>
      </c>
      <c r="EG90" t="s">
        <v>19</v>
      </c>
      <c r="EH90">
        <v>0</v>
      </c>
      <c r="EI90" t="s">
        <v>3</v>
      </c>
      <c r="EJ90">
        <v>1</v>
      </c>
      <c r="EK90">
        <v>86</v>
      </c>
      <c r="EL90" t="s">
        <v>311</v>
      </c>
      <c r="EM90" t="s">
        <v>312</v>
      </c>
      <c r="EO90" t="s">
        <v>22</v>
      </c>
      <c r="EQ90">
        <v>0</v>
      </c>
      <c r="ER90">
        <v>59.54</v>
      </c>
      <c r="ES90">
        <v>1.61</v>
      </c>
      <c r="ET90">
        <v>0.42</v>
      </c>
      <c r="EU90">
        <v>0.12</v>
      </c>
      <c r="EV90">
        <v>57.51</v>
      </c>
      <c r="EW90">
        <v>3.97</v>
      </c>
      <c r="EX90">
        <v>0</v>
      </c>
      <c r="EY90">
        <v>0</v>
      </c>
      <c r="FQ90">
        <v>0</v>
      </c>
      <c r="FR90">
        <f t="shared" si="117"/>
        <v>0</v>
      </c>
      <c r="FS90">
        <v>0</v>
      </c>
      <c r="FX90">
        <v>105</v>
      </c>
      <c r="FY90">
        <v>70</v>
      </c>
      <c r="GA90" t="s">
        <v>3</v>
      </c>
      <c r="GD90">
        <v>0</v>
      </c>
      <c r="GF90">
        <v>-1574812013</v>
      </c>
      <c r="GG90">
        <v>2</v>
      </c>
      <c r="GH90">
        <v>1</v>
      </c>
      <c r="GI90">
        <v>2</v>
      </c>
      <c r="GJ90">
        <v>0</v>
      </c>
      <c r="GK90">
        <f>ROUND(R90*(R12)/100,2)</f>
        <v>8.56</v>
      </c>
      <c r="GL90">
        <f t="shared" si="118"/>
        <v>0</v>
      </c>
      <c r="GM90">
        <f>ROUND(O90+X90+Y90+GK90,2)+GX90</f>
        <v>5528.91</v>
      </c>
      <c r="GN90">
        <f>IF(OR(BI90=0,BI90=1),ROUND(O90+X90+Y90+GK90,2),0)</f>
        <v>5528.91</v>
      </c>
      <c r="GO90">
        <f>IF(BI90=2,ROUND(O90+X90+Y90+GK90,2),0)</f>
        <v>0</v>
      </c>
      <c r="GP90">
        <f>IF(BI90=4,ROUND(O90+X90+Y90+GK90,2)+GX90,0)</f>
        <v>0</v>
      </c>
      <c r="GR90">
        <v>0</v>
      </c>
      <c r="GS90">
        <v>3</v>
      </c>
      <c r="GT90">
        <v>0</v>
      </c>
      <c r="GU90" t="s">
        <v>3</v>
      </c>
      <c r="GV90">
        <f t="shared" si="119"/>
        <v>0</v>
      </c>
      <c r="GW90">
        <v>1</v>
      </c>
      <c r="GX90">
        <f t="shared" si="120"/>
        <v>0</v>
      </c>
      <c r="HA90">
        <v>0</v>
      </c>
      <c r="HB90">
        <v>0</v>
      </c>
      <c r="HC90">
        <f t="shared" si="121"/>
        <v>0</v>
      </c>
      <c r="IK90">
        <v>0</v>
      </c>
    </row>
    <row r="91" spans="1:245" x14ac:dyDescent="0.2">
      <c r="A91">
        <v>18</v>
      </c>
      <c r="B91">
        <v>1</v>
      </c>
      <c r="C91">
        <v>177</v>
      </c>
      <c r="E91" t="s">
        <v>313</v>
      </c>
      <c r="F91" t="s">
        <v>280</v>
      </c>
      <c r="G91" t="s">
        <v>281</v>
      </c>
      <c r="H91" t="s">
        <v>113</v>
      </c>
      <c r="I91">
        <f>I90*J91</f>
        <v>17</v>
      </c>
      <c r="J91">
        <v>10</v>
      </c>
      <c r="O91">
        <f t="shared" si="92"/>
        <v>5430.37</v>
      </c>
      <c r="P91">
        <f t="shared" si="93"/>
        <v>5430.37</v>
      </c>
      <c r="Q91">
        <f t="shared" si="94"/>
        <v>0</v>
      </c>
      <c r="R91">
        <f t="shared" si="95"/>
        <v>0</v>
      </c>
      <c r="S91">
        <f t="shared" si="96"/>
        <v>0</v>
      </c>
      <c r="T91">
        <f t="shared" si="97"/>
        <v>0</v>
      </c>
      <c r="U91">
        <f t="shared" si="98"/>
        <v>0</v>
      </c>
      <c r="V91">
        <f t="shared" si="99"/>
        <v>0</v>
      </c>
      <c r="W91">
        <f t="shared" si="100"/>
        <v>0</v>
      </c>
      <c r="X91">
        <f t="shared" si="101"/>
        <v>0</v>
      </c>
      <c r="Y91">
        <f t="shared" si="102"/>
        <v>0</v>
      </c>
      <c r="AA91">
        <v>44962055</v>
      </c>
      <c r="AB91">
        <f t="shared" si="103"/>
        <v>72.27</v>
      </c>
      <c r="AC91">
        <f t="shared" si="51"/>
        <v>72.27</v>
      </c>
      <c r="AD91">
        <f>ROUND((ET91),6)</f>
        <v>0</v>
      </c>
      <c r="AE91">
        <f>ROUND((EU91),6)</f>
        <v>0</v>
      </c>
      <c r="AF91">
        <f>ROUND((EV91),6)</f>
        <v>0</v>
      </c>
      <c r="AG91">
        <f t="shared" si="104"/>
        <v>0</v>
      </c>
      <c r="AH91">
        <f>(EW91)</f>
        <v>0</v>
      </c>
      <c r="AI91">
        <f>(EX91)</f>
        <v>0</v>
      </c>
      <c r="AJ91">
        <f t="shared" si="105"/>
        <v>0</v>
      </c>
      <c r="AK91">
        <v>72.27</v>
      </c>
      <c r="AL91">
        <v>72.27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4.42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282</v>
      </c>
      <c r="BM91">
        <v>86</v>
      </c>
      <c r="BN91">
        <v>0</v>
      </c>
      <c r="BO91" t="s">
        <v>280</v>
      </c>
      <c r="BP91">
        <v>1</v>
      </c>
      <c r="BQ91">
        <v>30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E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06"/>
        <v>5430.37</v>
      </c>
      <c r="CQ91">
        <f t="shared" si="107"/>
        <v>319.43339999999995</v>
      </c>
      <c r="CR91">
        <f t="shared" si="108"/>
        <v>0</v>
      </c>
      <c r="CS91">
        <f t="shared" si="109"/>
        <v>0</v>
      </c>
      <c r="CT91">
        <f t="shared" si="110"/>
        <v>0</v>
      </c>
      <c r="CU91">
        <f t="shared" si="111"/>
        <v>0</v>
      </c>
      <c r="CV91">
        <f t="shared" si="112"/>
        <v>0</v>
      </c>
      <c r="CW91">
        <f t="shared" si="113"/>
        <v>0</v>
      </c>
      <c r="CX91">
        <f t="shared" si="114"/>
        <v>0</v>
      </c>
      <c r="CY91">
        <f t="shared" si="115"/>
        <v>0</v>
      </c>
      <c r="CZ91">
        <f t="shared" si="116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105</v>
      </c>
      <c r="DO91">
        <v>70</v>
      </c>
      <c r="DP91">
        <v>1.0469999999999999</v>
      </c>
      <c r="DQ91">
        <v>1</v>
      </c>
      <c r="DU91">
        <v>1013</v>
      </c>
      <c r="DV91" t="s">
        <v>113</v>
      </c>
      <c r="DW91" t="s">
        <v>113</v>
      </c>
      <c r="DX91">
        <v>1</v>
      </c>
      <c r="EE91">
        <v>41867534</v>
      </c>
      <c r="EF91">
        <v>30</v>
      </c>
      <c r="EG91" t="s">
        <v>19</v>
      </c>
      <c r="EH91">
        <v>0</v>
      </c>
      <c r="EI91" t="s">
        <v>3</v>
      </c>
      <c r="EJ91">
        <v>1</v>
      </c>
      <c r="EK91">
        <v>86</v>
      </c>
      <c r="EL91" t="s">
        <v>311</v>
      </c>
      <c r="EM91" t="s">
        <v>312</v>
      </c>
      <c r="EO91" t="s">
        <v>3</v>
      </c>
      <c r="EQ91">
        <v>0</v>
      </c>
      <c r="ER91">
        <v>72.27</v>
      </c>
      <c r="ES91">
        <v>72.27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17"/>
        <v>0</v>
      </c>
      <c r="FS91">
        <v>0</v>
      </c>
      <c r="FX91">
        <v>105</v>
      </c>
      <c r="FY91">
        <v>70</v>
      </c>
      <c r="GA91" t="s">
        <v>3</v>
      </c>
      <c r="GD91">
        <v>1</v>
      </c>
      <c r="GF91">
        <v>-189742698</v>
      </c>
      <c r="GG91">
        <v>2</v>
      </c>
      <c r="GH91">
        <v>1</v>
      </c>
      <c r="GI91">
        <v>2</v>
      </c>
      <c r="GJ91">
        <v>0</v>
      </c>
      <c r="GK91">
        <v>0</v>
      </c>
      <c r="GL91">
        <f t="shared" si="118"/>
        <v>0</v>
      </c>
      <c r="GM91">
        <f>ROUND(O91+X91+Y91,2)+GX91</f>
        <v>5430.37</v>
      </c>
      <c r="GN91">
        <f>IF(OR(BI91=0,BI91=1),ROUND(O91+X91+Y91,2),0)</f>
        <v>5430.37</v>
      </c>
      <c r="GO91">
        <f>IF(BI91=2,ROUND(O91+X91+Y91,2),0)</f>
        <v>0</v>
      </c>
      <c r="GP91">
        <f>IF(BI91=4,ROUND(O91+X91+Y91,2)+GX91,0)</f>
        <v>0</v>
      </c>
      <c r="GR91">
        <v>0</v>
      </c>
      <c r="GS91">
        <v>3</v>
      </c>
      <c r="GT91">
        <v>0</v>
      </c>
      <c r="GU91" t="s">
        <v>3</v>
      </c>
      <c r="GV91">
        <f t="shared" si="119"/>
        <v>0</v>
      </c>
      <c r="GW91">
        <v>1</v>
      </c>
      <c r="GX91">
        <f t="shared" si="120"/>
        <v>0</v>
      </c>
      <c r="HA91">
        <v>0</v>
      </c>
      <c r="HB91">
        <v>0</v>
      </c>
      <c r="HC91">
        <f t="shared" si="121"/>
        <v>0</v>
      </c>
      <c r="IK91">
        <v>0</v>
      </c>
    </row>
    <row r="92" spans="1:245" x14ac:dyDescent="0.2">
      <c r="A92">
        <v>17</v>
      </c>
      <c r="B92">
        <v>1</v>
      </c>
      <c r="C92">
        <f>ROW(SmtRes!A190)</f>
        <v>190</v>
      </c>
      <c r="D92">
        <f>ROW(EtalonRes!A187)</f>
        <v>187</v>
      </c>
      <c r="E92" t="s">
        <v>314</v>
      </c>
      <c r="F92" t="s">
        <v>315</v>
      </c>
      <c r="G92" t="s">
        <v>316</v>
      </c>
      <c r="H92" t="s">
        <v>317</v>
      </c>
      <c r="I92">
        <f>ROUND(I86*0.2,9)</f>
        <v>0.1734</v>
      </c>
      <c r="J92">
        <v>0</v>
      </c>
      <c r="O92">
        <f t="shared" si="92"/>
        <v>27392.16</v>
      </c>
      <c r="P92">
        <f t="shared" si="93"/>
        <v>13854.04</v>
      </c>
      <c r="Q92">
        <f t="shared" si="94"/>
        <v>232.81</v>
      </c>
      <c r="R92">
        <f t="shared" si="95"/>
        <v>21.62</v>
      </c>
      <c r="S92">
        <f t="shared" si="96"/>
        <v>13305.31</v>
      </c>
      <c r="T92">
        <f t="shared" si="97"/>
        <v>0</v>
      </c>
      <c r="U92">
        <f t="shared" si="98"/>
        <v>53.665394680799999</v>
      </c>
      <c r="V92">
        <f t="shared" si="99"/>
        <v>0</v>
      </c>
      <c r="W92">
        <f t="shared" si="100"/>
        <v>0</v>
      </c>
      <c r="X92">
        <f t="shared" si="101"/>
        <v>10777.3</v>
      </c>
      <c r="Y92">
        <f t="shared" si="102"/>
        <v>5455.18</v>
      </c>
      <c r="AA92">
        <v>44962055</v>
      </c>
      <c r="AB92">
        <f t="shared" si="103"/>
        <v>17437.194500000001</v>
      </c>
      <c r="AC92">
        <f t="shared" si="51"/>
        <v>13710.4</v>
      </c>
      <c r="AD92">
        <f>ROUND(((ET92*1.25)),6)</f>
        <v>134.27500000000001</v>
      </c>
      <c r="AE92">
        <f>ROUND(((EU92*1.25)),6)</f>
        <v>5.8375000000000004</v>
      </c>
      <c r="AF92">
        <f>ROUND(((EV92*1.15)),6)</f>
        <v>3592.5194999999999</v>
      </c>
      <c r="AG92">
        <f t="shared" si="104"/>
        <v>0</v>
      </c>
      <c r="AH92">
        <f>((EW92*1.15))</f>
        <v>295.596</v>
      </c>
      <c r="AI92">
        <f>((EX92*1.25))</f>
        <v>0</v>
      </c>
      <c r="AJ92">
        <f t="shared" si="105"/>
        <v>0</v>
      </c>
      <c r="AK92">
        <v>16941.75</v>
      </c>
      <c r="AL92">
        <v>13710.4</v>
      </c>
      <c r="AM92">
        <v>107.42</v>
      </c>
      <c r="AN92">
        <v>4.67</v>
      </c>
      <c r="AO92">
        <v>3123.93</v>
      </c>
      <c r="AP92">
        <v>0</v>
      </c>
      <c r="AQ92">
        <v>257.04000000000002</v>
      </c>
      <c r="AR92">
        <v>0</v>
      </c>
      <c r="AS92">
        <v>0</v>
      </c>
      <c r="AT92">
        <v>81</v>
      </c>
      <c r="AU92">
        <v>41</v>
      </c>
      <c r="AV92">
        <v>1.0469999999999999</v>
      </c>
      <c r="AW92">
        <v>1.0029999999999999</v>
      </c>
      <c r="AZ92">
        <v>1</v>
      </c>
      <c r="BA92">
        <v>20.399999999999999</v>
      </c>
      <c r="BB92">
        <v>9.5500000000000007</v>
      </c>
      <c r="BC92">
        <v>5.81</v>
      </c>
      <c r="BD92" t="s">
        <v>3</v>
      </c>
      <c r="BE92" t="s">
        <v>3</v>
      </c>
      <c r="BF92" t="s">
        <v>3</v>
      </c>
      <c r="BG92" t="s">
        <v>3</v>
      </c>
      <c r="BH92">
        <v>0</v>
      </c>
      <c r="BI92">
        <v>1</v>
      </c>
      <c r="BJ92" t="s">
        <v>318</v>
      </c>
      <c r="BM92">
        <v>122</v>
      </c>
      <c r="BN92">
        <v>0</v>
      </c>
      <c r="BO92" t="s">
        <v>315</v>
      </c>
      <c r="BP92">
        <v>1</v>
      </c>
      <c r="BQ92">
        <v>30</v>
      </c>
      <c r="BR92">
        <v>0</v>
      </c>
      <c r="BS92">
        <v>20.399999999999999</v>
      </c>
      <c r="BT92">
        <v>1</v>
      </c>
      <c r="BU92">
        <v>1</v>
      </c>
      <c r="BV92">
        <v>1</v>
      </c>
      <c r="BW92">
        <v>1</v>
      </c>
      <c r="BX92">
        <v>1</v>
      </c>
      <c r="BY92" t="s">
        <v>3</v>
      </c>
      <c r="BZ92">
        <v>81</v>
      </c>
      <c r="CA92">
        <v>41</v>
      </c>
      <c r="CE92">
        <v>0</v>
      </c>
      <c r="CF92">
        <v>0</v>
      </c>
      <c r="CG92">
        <v>0</v>
      </c>
      <c r="CM92">
        <v>0</v>
      </c>
      <c r="CN92" t="s">
        <v>16</v>
      </c>
      <c r="CO92">
        <v>0</v>
      </c>
      <c r="CP92">
        <f t="shared" si="106"/>
        <v>27392.16</v>
      </c>
      <c r="CQ92">
        <f t="shared" si="107"/>
        <v>79896.396271999984</v>
      </c>
      <c r="CR92">
        <f t="shared" si="108"/>
        <v>1342.5955837500001</v>
      </c>
      <c r="CS92">
        <f t="shared" si="109"/>
        <v>124.68199499999999</v>
      </c>
      <c r="CT92">
        <f t="shared" si="110"/>
        <v>76731.905496599982</v>
      </c>
      <c r="CU92">
        <f t="shared" si="111"/>
        <v>0</v>
      </c>
      <c r="CV92">
        <f t="shared" si="112"/>
        <v>309.489012</v>
      </c>
      <c r="CW92">
        <f t="shared" si="113"/>
        <v>0</v>
      </c>
      <c r="CX92">
        <f t="shared" si="114"/>
        <v>0</v>
      </c>
      <c r="CY92">
        <f t="shared" si="115"/>
        <v>10777.301100000001</v>
      </c>
      <c r="CZ92">
        <f t="shared" si="116"/>
        <v>5455.1770999999999</v>
      </c>
      <c r="DC92" t="s">
        <v>3</v>
      </c>
      <c r="DD92" t="s">
        <v>3</v>
      </c>
      <c r="DE92" t="s">
        <v>17</v>
      </c>
      <c r="DF92" t="s">
        <v>17</v>
      </c>
      <c r="DG92" t="s">
        <v>18</v>
      </c>
      <c r="DH92" t="s">
        <v>3</v>
      </c>
      <c r="DI92" t="s">
        <v>18</v>
      </c>
      <c r="DJ92" t="s">
        <v>17</v>
      </c>
      <c r="DK92" t="s">
        <v>3</v>
      </c>
      <c r="DL92" t="s">
        <v>3</v>
      </c>
      <c r="DM92" t="s">
        <v>3</v>
      </c>
      <c r="DN92">
        <v>100</v>
      </c>
      <c r="DO92">
        <v>64</v>
      </c>
      <c r="DP92">
        <v>1.0469999999999999</v>
      </c>
      <c r="DQ92">
        <v>1.0029999999999999</v>
      </c>
      <c r="DU92">
        <v>1013</v>
      </c>
      <c r="DV92" t="s">
        <v>317</v>
      </c>
      <c r="DW92" t="s">
        <v>317</v>
      </c>
      <c r="DX92">
        <v>1</v>
      </c>
      <c r="EE92">
        <v>41867570</v>
      </c>
      <c r="EF92">
        <v>30</v>
      </c>
      <c r="EG92" t="s">
        <v>19</v>
      </c>
      <c r="EH92">
        <v>0</v>
      </c>
      <c r="EI92" t="s">
        <v>3</v>
      </c>
      <c r="EJ92">
        <v>1</v>
      </c>
      <c r="EK92">
        <v>122</v>
      </c>
      <c r="EL92" t="s">
        <v>319</v>
      </c>
      <c r="EM92" t="s">
        <v>320</v>
      </c>
      <c r="EO92" t="s">
        <v>22</v>
      </c>
      <c r="EQ92">
        <v>0</v>
      </c>
      <c r="ER92">
        <v>16941.75</v>
      </c>
      <c r="ES92">
        <v>13710.4</v>
      </c>
      <c r="ET92">
        <v>107.42</v>
      </c>
      <c r="EU92">
        <v>4.67</v>
      </c>
      <c r="EV92">
        <v>3123.93</v>
      </c>
      <c r="EW92">
        <v>257.04000000000002</v>
      </c>
      <c r="EX92">
        <v>0</v>
      </c>
      <c r="EY92">
        <v>0</v>
      </c>
      <c r="FQ92">
        <v>0</v>
      </c>
      <c r="FR92">
        <f t="shared" si="117"/>
        <v>0</v>
      </c>
      <c r="FS92">
        <v>0</v>
      </c>
      <c r="FX92">
        <v>100</v>
      </c>
      <c r="FY92">
        <v>64</v>
      </c>
      <c r="GA92" t="s">
        <v>3</v>
      </c>
      <c r="GD92">
        <v>0</v>
      </c>
      <c r="GF92">
        <v>115551136</v>
      </c>
      <c r="GG92">
        <v>2</v>
      </c>
      <c r="GH92">
        <v>1</v>
      </c>
      <c r="GI92">
        <v>2</v>
      </c>
      <c r="GJ92">
        <v>0</v>
      </c>
      <c r="GK92">
        <f>ROUND(R92*(R12)/100,2)</f>
        <v>33.94</v>
      </c>
      <c r="GL92">
        <f t="shared" si="118"/>
        <v>0</v>
      </c>
      <c r="GM92">
        <f>ROUND(O92+X92+Y92+GK92,2)+GX92</f>
        <v>43658.58</v>
      </c>
      <c r="GN92">
        <f>IF(OR(BI92=0,BI92=1),ROUND(O92+X92+Y92+GK92,2),0)</f>
        <v>43658.58</v>
      </c>
      <c r="GO92">
        <f>IF(BI92=2,ROUND(O92+X92+Y92+GK92,2),0)</f>
        <v>0</v>
      </c>
      <c r="GP92">
        <f>IF(BI92=4,ROUND(O92+X92+Y92+GK92,2)+GX92,0)</f>
        <v>0</v>
      </c>
      <c r="GR92">
        <v>0</v>
      </c>
      <c r="GS92">
        <v>3</v>
      </c>
      <c r="GT92">
        <v>0</v>
      </c>
      <c r="GU92" t="s">
        <v>3</v>
      </c>
      <c r="GV92">
        <f t="shared" si="119"/>
        <v>0</v>
      </c>
      <c r="GW92">
        <v>1</v>
      </c>
      <c r="GX92">
        <f t="shared" si="120"/>
        <v>0</v>
      </c>
      <c r="HA92">
        <v>0</v>
      </c>
      <c r="HB92">
        <v>0</v>
      </c>
      <c r="HC92">
        <f t="shared" si="121"/>
        <v>0</v>
      </c>
      <c r="IK92">
        <v>0</v>
      </c>
    </row>
    <row r="93" spans="1:245" x14ac:dyDescent="0.2">
      <c r="A93">
        <v>18</v>
      </c>
      <c r="B93">
        <v>1</v>
      </c>
      <c r="C93">
        <v>189</v>
      </c>
      <c r="E93" t="s">
        <v>321</v>
      </c>
      <c r="F93" t="s">
        <v>322</v>
      </c>
      <c r="G93" t="s">
        <v>323</v>
      </c>
      <c r="H93" t="s">
        <v>26</v>
      </c>
      <c r="I93">
        <f>I92*J93</f>
        <v>86.7</v>
      </c>
      <c r="J93">
        <v>500</v>
      </c>
      <c r="O93">
        <f t="shared" si="92"/>
        <v>16764.64</v>
      </c>
      <c r="P93">
        <f t="shared" si="93"/>
        <v>16764.64</v>
      </c>
      <c r="Q93">
        <f t="shared" si="94"/>
        <v>0</v>
      </c>
      <c r="R93">
        <f t="shared" si="95"/>
        <v>0</v>
      </c>
      <c r="S93">
        <f t="shared" si="96"/>
        <v>0</v>
      </c>
      <c r="T93">
        <f t="shared" si="97"/>
        <v>0</v>
      </c>
      <c r="U93">
        <f t="shared" si="98"/>
        <v>0</v>
      </c>
      <c r="V93">
        <f t="shared" si="99"/>
        <v>0</v>
      </c>
      <c r="W93">
        <f t="shared" si="100"/>
        <v>0</v>
      </c>
      <c r="X93">
        <f t="shared" si="101"/>
        <v>0</v>
      </c>
      <c r="Y93">
        <f t="shared" si="102"/>
        <v>0</v>
      </c>
      <c r="AA93">
        <v>44962055</v>
      </c>
      <c r="AB93">
        <f t="shared" si="103"/>
        <v>37.58</v>
      </c>
      <c r="AC93">
        <f t="shared" si="51"/>
        <v>37.58</v>
      </c>
      <c r="AD93">
        <f>ROUND((ET93),6)</f>
        <v>0</v>
      </c>
      <c r="AE93">
        <f>ROUND((EU93),6)</f>
        <v>0</v>
      </c>
      <c r="AF93">
        <f>ROUND((EV93),6)</f>
        <v>0</v>
      </c>
      <c r="AG93">
        <f t="shared" si="104"/>
        <v>0</v>
      </c>
      <c r="AH93">
        <f>(EW93)</f>
        <v>0</v>
      </c>
      <c r="AI93">
        <f>(EX93)</f>
        <v>0</v>
      </c>
      <c r="AJ93">
        <f t="shared" si="105"/>
        <v>0</v>
      </c>
      <c r="AK93">
        <v>37.58</v>
      </c>
      <c r="AL93">
        <v>37.58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1.0029999999999999</v>
      </c>
      <c r="AZ93">
        <v>1</v>
      </c>
      <c r="BA93">
        <v>1</v>
      </c>
      <c r="BB93">
        <v>1</v>
      </c>
      <c r="BC93">
        <v>5.13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324</v>
      </c>
      <c r="BM93">
        <v>122</v>
      </c>
      <c r="BN93">
        <v>0</v>
      </c>
      <c r="BO93" t="s">
        <v>322</v>
      </c>
      <c r="BP93">
        <v>1</v>
      </c>
      <c r="BQ93">
        <v>30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E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06"/>
        <v>16764.64</v>
      </c>
      <c r="CQ93">
        <f t="shared" si="107"/>
        <v>193.36375619999995</v>
      </c>
      <c r="CR93">
        <f t="shared" si="108"/>
        <v>0</v>
      </c>
      <c r="CS93">
        <f t="shared" si="109"/>
        <v>0</v>
      </c>
      <c r="CT93">
        <f t="shared" si="110"/>
        <v>0</v>
      </c>
      <c r="CU93">
        <f t="shared" si="111"/>
        <v>0</v>
      </c>
      <c r="CV93">
        <f t="shared" si="112"/>
        <v>0</v>
      </c>
      <c r="CW93">
        <f t="shared" si="113"/>
        <v>0</v>
      </c>
      <c r="CX93">
        <f t="shared" si="114"/>
        <v>0</v>
      </c>
      <c r="CY93">
        <f t="shared" si="115"/>
        <v>0</v>
      </c>
      <c r="CZ93">
        <f t="shared" si="116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100</v>
      </c>
      <c r="DO93">
        <v>64</v>
      </c>
      <c r="DP93">
        <v>1.0469999999999999</v>
      </c>
      <c r="DQ93">
        <v>1.0029999999999999</v>
      </c>
      <c r="DU93">
        <v>1003</v>
      </c>
      <c r="DV93" t="s">
        <v>26</v>
      </c>
      <c r="DW93" t="s">
        <v>26</v>
      </c>
      <c r="DX93">
        <v>1</v>
      </c>
      <c r="EE93">
        <v>41867570</v>
      </c>
      <c r="EF93">
        <v>30</v>
      </c>
      <c r="EG93" t="s">
        <v>19</v>
      </c>
      <c r="EH93">
        <v>0</v>
      </c>
      <c r="EI93" t="s">
        <v>3</v>
      </c>
      <c r="EJ93">
        <v>1</v>
      </c>
      <c r="EK93">
        <v>122</v>
      </c>
      <c r="EL93" t="s">
        <v>319</v>
      </c>
      <c r="EM93" t="s">
        <v>320</v>
      </c>
      <c r="EO93" t="s">
        <v>3</v>
      </c>
      <c r="EQ93">
        <v>0</v>
      </c>
      <c r="ER93">
        <v>37.58</v>
      </c>
      <c r="ES93">
        <v>37.58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17"/>
        <v>0</v>
      </c>
      <c r="FS93">
        <v>0</v>
      </c>
      <c r="FX93">
        <v>100</v>
      </c>
      <c r="FY93">
        <v>64</v>
      </c>
      <c r="GA93" t="s">
        <v>3</v>
      </c>
      <c r="GD93">
        <v>1</v>
      </c>
      <c r="GF93">
        <v>-1014055021</v>
      </c>
      <c r="GG93">
        <v>2</v>
      </c>
      <c r="GH93">
        <v>1</v>
      </c>
      <c r="GI93">
        <v>2</v>
      </c>
      <c r="GJ93">
        <v>0</v>
      </c>
      <c r="GK93">
        <v>0</v>
      </c>
      <c r="GL93">
        <f t="shared" si="118"/>
        <v>0</v>
      </c>
      <c r="GM93">
        <f>ROUND(O93+X93+Y93,2)+GX93</f>
        <v>16764.64</v>
      </c>
      <c r="GN93">
        <f>IF(OR(BI93=0,BI93=1),ROUND(O93+X93+Y93,2),0)</f>
        <v>16764.64</v>
      </c>
      <c r="GO93">
        <f>IF(BI93=2,ROUND(O93+X93+Y93,2),0)</f>
        <v>0</v>
      </c>
      <c r="GP93">
        <f>IF(BI93=4,ROUND(O93+X93+Y93,2)+GX93,0)</f>
        <v>0</v>
      </c>
      <c r="GR93">
        <v>0</v>
      </c>
      <c r="GS93">
        <v>3</v>
      </c>
      <c r="GT93">
        <v>0</v>
      </c>
      <c r="GU93" t="s">
        <v>3</v>
      </c>
      <c r="GV93">
        <f t="shared" si="119"/>
        <v>0</v>
      </c>
      <c r="GW93">
        <v>1</v>
      </c>
      <c r="GX93">
        <f t="shared" si="120"/>
        <v>0</v>
      </c>
      <c r="HA93">
        <v>0</v>
      </c>
      <c r="HB93">
        <v>0</v>
      </c>
      <c r="HC93">
        <f t="shared" si="121"/>
        <v>0</v>
      </c>
      <c r="IK93">
        <v>0</v>
      </c>
    </row>
    <row r="95" spans="1:245" x14ac:dyDescent="0.2">
      <c r="A95" s="2">
        <v>51</v>
      </c>
      <c r="B95" s="2">
        <f>B20</f>
        <v>1</v>
      </c>
      <c r="C95" s="2">
        <f>A20</f>
        <v>3</v>
      </c>
      <c r="D95" s="2">
        <f>ROW(A20)</f>
        <v>20</v>
      </c>
      <c r="E95" s="2"/>
      <c r="F95" s="2" t="str">
        <f>IF(F20&lt;&gt;"",F20,"")</f>
        <v/>
      </c>
      <c r="G95" s="2" t="str">
        <f>IF(G20&lt;&gt;"",G20,"")</f>
        <v>Отделка помещения</v>
      </c>
      <c r="H95" s="2">
        <v>0</v>
      </c>
      <c r="I95" s="2"/>
      <c r="J95" s="2"/>
      <c r="K95" s="2"/>
      <c r="L95" s="2"/>
      <c r="M95" s="2"/>
      <c r="N95" s="2"/>
      <c r="O95" s="2">
        <f t="shared" ref="O95:T95" si="122">ROUND(AB95,2)</f>
        <v>2351448.14</v>
      </c>
      <c r="P95" s="2">
        <f t="shared" si="122"/>
        <v>1208865.92</v>
      </c>
      <c r="Q95" s="2">
        <f t="shared" si="122"/>
        <v>16211.01</v>
      </c>
      <c r="R95" s="2">
        <f t="shared" si="122"/>
        <v>7620.87</v>
      </c>
      <c r="S95" s="2">
        <f t="shared" si="122"/>
        <v>1126371.21</v>
      </c>
      <c r="T95" s="2">
        <f t="shared" si="122"/>
        <v>0</v>
      </c>
      <c r="U95" s="2">
        <f>AH95</f>
        <v>4618.4732981387997</v>
      </c>
      <c r="V95" s="2">
        <f>AI95</f>
        <v>0</v>
      </c>
      <c r="W95" s="2">
        <f>ROUND(AJ95,2)</f>
        <v>0</v>
      </c>
      <c r="X95" s="2">
        <f>ROUND(AK95,2)</f>
        <v>897300.05</v>
      </c>
      <c r="Y95" s="2">
        <f>ROUND(AL95,2)</f>
        <v>461812.22</v>
      </c>
      <c r="Z95" s="2"/>
      <c r="AA95" s="2"/>
      <c r="AB95" s="2">
        <f>ROUND(SUMIF(AA24:AA93,"=44962055",O24:O93),2)</f>
        <v>2351448.14</v>
      </c>
      <c r="AC95" s="2">
        <f>ROUND(SUMIF(AA24:AA93,"=44962055",P24:P93),2)</f>
        <v>1208865.92</v>
      </c>
      <c r="AD95" s="2">
        <f>ROUND(SUMIF(AA24:AA93,"=44962055",Q24:Q93),2)</f>
        <v>16211.01</v>
      </c>
      <c r="AE95" s="2">
        <f>ROUND(SUMIF(AA24:AA93,"=44962055",R24:R93),2)</f>
        <v>7620.87</v>
      </c>
      <c r="AF95" s="2">
        <f>ROUND(SUMIF(AA24:AA93,"=44962055",S24:S93),2)</f>
        <v>1126371.21</v>
      </c>
      <c r="AG95" s="2">
        <f>ROUND(SUMIF(AA24:AA93,"=44962055",T24:T93),2)</f>
        <v>0</v>
      </c>
      <c r="AH95" s="2">
        <f>SUMIF(AA24:AA93,"=44962055",U24:U93)</f>
        <v>4618.4732981387997</v>
      </c>
      <c r="AI95" s="2">
        <f>SUMIF(AA24:AA93,"=44962055",V24:V93)</f>
        <v>0</v>
      </c>
      <c r="AJ95" s="2">
        <f>ROUND(SUMIF(AA24:AA93,"=44962055",W24:W93),2)</f>
        <v>0</v>
      </c>
      <c r="AK95" s="2">
        <f>ROUND(SUMIF(AA24:AA93,"=44962055",X24:X93),2)</f>
        <v>897300.05</v>
      </c>
      <c r="AL95" s="2">
        <f>ROUND(SUMIF(AA24:AA93,"=44962055",Y24:Y93),2)</f>
        <v>461812.22</v>
      </c>
      <c r="AM95" s="2"/>
      <c r="AN95" s="2"/>
      <c r="AO95" s="2">
        <f t="shared" ref="AO95:BC95" si="123">ROUND(BX95,2)</f>
        <v>0</v>
      </c>
      <c r="AP95" s="2">
        <f t="shared" si="123"/>
        <v>0</v>
      </c>
      <c r="AQ95" s="2">
        <f t="shared" si="123"/>
        <v>0</v>
      </c>
      <c r="AR95" s="2">
        <f t="shared" si="123"/>
        <v>3722525.16</v>
      </c>
      <c r="AS95" s="2">
        <f t="shared" si="123"/>
        <v>3722525.16</v>
      </c>
      <c r="AT95" s="2">
        <f t="shared" si="123"/>
        <v>0</v>
      </c>
      <c r="AU95" s="2">
        <f t="shared" si="123"/>
        <v>0</v>
      </c>
      <c r="AV95" s="2">
        <f t="shared" si="123"/>
        <v>1208865.92</v>
      </c>
      <c r="AW95" s="2">
        <f t="shared" si="123"/>
        <v>1208865.92</v>
      </c>
      <c r="AX95" s="2">
        <f t="shared" si="123"/>
        <v>0</v>
      </c>
      <c r="AY95" s="2">
        <f t="shared" si="123"/>
        <v>1208865.92</v>
      </c>
      <c r="AZ95" s="2">
        <f t="shared" si="123"/>
        <v>0</v>
      </c>
      <c r="BA95" s="2">
        <f t="shared" si="123"/>
        <v>0</v>
      </c>
      <c r="BB95" s="2">
        <f t="shared" si="123"/>
        <v>0</v>
      </c>
      <c r="BC95" s="2">
        <f t="shared" si="123"/>
        <v>0</v>
      </c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>
        <f>ROUND(SUMIF(AA24:AA93,"=44962055",FQ24:FQ93),2)</f>
        <v>0</v>
      </c>
      <c r="BY95" s="2">
        <f>ROUND(SUMIF(AA24:AA93,"=44962055",FR24:FR93),2)</f>
        <v>0</v>
      </c>
      <c r="BZ95" s="2">
        <f>ROUND(SUMIF(AA24:AA93,"=44962055",GL24:GL93),2)</f>
        <v>0</v>
      </c>
      <c r="CA95" s="2">
        <f>ROUND(SUMIF(AA24:AA93,"=44962055",GM24:GM93),2)</f>
        <v>3722525.16</v>
      </c>
      <c r="CB95" s="2">
        <f>ROUND(SUMIF(AA24:AA93,"=44962055",GN24:GN93),2)</f>
        <v>3722525.16</v>
      </c>
      <c r="CC95" s="2">
        <f>ROUND(SUMIF(AA24:AA93,"=44962055",GO24:GO93),2)</f>
        <v>0</v>
      </c>
      <c r="CD95" s="2">
        <f>ROUND(SUMIF(AA24:AA93,"=44962055",GP24:GP93),2)</f>
        <v>0</v>
      </c>
      <c r="CE95" s="2">
        <f>AC95-BX95</f>
        <v>1208865.92</v>
      </c>
      <c r="CF95" s="2">
        <f>AC95-BY95</f>
        <v>1208865.92</v>
      </c>
      <c r="CG95" s="2">
        <f>BX95-BZ95</f>
        <v>0</v>
      </c>
      <c r="CH95" s="2">
        <f>AC95-BX95-BY95+BZ95</f>
        <v>1208865.92</v>
      </c>
      <c r="CI95" s="2">
        <f>BY95-BZ95</f>
        <v>0</v>
      </c>
      <c r="CJ95" s="2">
        <f>ROUND(SUMIF(AA24:AA93,"=44962055",GX24:GX93),2)</f>
        <v>0</v>
      </c>
      <c r="CK95" s="2">
        <f>ROUND(SUMIF(AA24:AA93,"=44962055",GY24:GY93),2)</f>
        <v>0</v>
      </c>
      <c r="CL95" s="2">
        <f>ROUND(SUMIF(AA24:AA93,"=44962055",GZ24:GZ93),2)</f>
        <v>0</v>
      </c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>
        <v>0</v>
      </c>
    </row>
    <row r="97" spans="1:23" x14ac:dyDescent="0.2">
      <c r="A97" s="4">
        <v>50</v>
      </c>
      <c r="B97" s="4">
        <v>0</v>
      </c>
      <c r="C97" s="4">
        <v>0</v>
      </c>
      <c r="D97" s="4">
        <v>1</v>
      </c>
      <c r="E97" s="4">
        <v>201</v>
      </c>
      <c r="F97" s="4">
        <f>ROUND(Source!O95,O97)</f>
        <v>2351448.14</v>
      </c>
      <c r="G97" s="4" t="s">
        <v>325</v>
      </c>
      <c r="H97" s="4" t="s">
        <v>326</v>
      </c>
      <c r="I97" s="4"/>
      <c r="J97" s="4"/>
      <c r="K97" s="4">
        <v>201</v>
      </c>
      <c r="L97" s="4">
        <v>1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 x14ac:dyDescent="0.2">
      <c r="A98" s="4">
        <v>50</v>
      </c>
      <c r="B98" s="4">
        <v>0</v>
      </c>
      <c r="C98" s="4">
        <v>0</v>
      </c>
      <c r="D98" s="4">
        <v>1</v>
      </c>
      <c r="E98" s="4">
        <v>202</v>
      </c>
      <c r="F98" s="4">
        <f>ROUND(Source!P95,O98)</f>
        <v>1208865.92</v>
      </c>
      <c r="G98" s="4" t="s">
        <v>327</v>
      </c>
      <c r="H98" s="4" t="s">
        <v>328</v>
      </c>
      <c r="I98" s="4"/>
      <c r="J98" s="4"/>
      <c r="K98" s="4">
        <v>202</v>
      </c>
      <c r="L98" s="4">
        <v>2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0</v>
      </c>
      <c r="C99" s="4">
        <v>0</v>
      </c>
      <c r="D99" s="4">
        <v>1</v>
      </c>
      <c r="E99" s="4">
        <v>222</v>
      </c>
      <c r="F99" s="4">
        <f>ROUND(Source!AO95,O99)</f>
        <v>0</v>
      </c>
      <c r="G99" s="4" t="s">
        <v>329</v>
      </c>
      <c r="H99" s="4" t="s">
        <v>330</v>
      </c>
      <c r="I99" s="4"/>
      <c r="J99" s="4"/>
      <c r="K99" s="4">
        <v>222</v>
      </c>
      <c r="L99" s="4">
        <v>3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225</v>
      </c>
      <c r="F100" s="4">
        <f>ROUND(Source!AV95,O100)</f>
        <v>1208865.92</v>
      </c>
      <c r="G100" s="4" t="s">
        <v>331</v>
      </c>
      <c r="H100" s="4" t="s">
        <v>332</v>
      </c>
      <c r="I100" s="4"/>
      <c r="J100" s="4"/>
      <c r="K100" s="4">
        <v>225</v>
      </c>
      <c r="L100" s="4">
        <v>4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226</v>
      </c>
      <c r="F101" s="4">
        <f>ROUND(Source!AW95,O101)</f>
        <v>1208865.92</v>
      </c>
      <c r="G101" s="4" t="s">
        <v>333</v>
      </c>
      <c r="H101" s="4" t="s">
        <v>334</v>
      </c>
      <c r="I101" s="4"/>
      <c r="J101" s="4"/>
      <c r="K101" s="4">
        <v>226</v>
      </c>
      <c r="L101" s="4">
        <v>5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0</v>
      </c>
      <c r="C102" s="4">
        <v>0</v>
      </c>
      <c r="D102" s="4">
        <v>1</v>
      </c>
      <c r="E102" s="4">
        <v>227</v>
      </c>
      <c r="F102" s="4">
        <f>ROUND(Source!AX95,O102)</f>
        <v>0</v>
      </c>
      <c r="G102" s="4" t="s">
        <v>335</v>
      </c>
      <c r="H102" s="4" t="s">
        <v>336</v>
      </c>
      <c r="I102" s="4"/>
      <c r="J102" s="4"/>
      <c r="K102" s="4">
        <v>227</v>
      </c>
      <c r="L102" s="4">
        <v>6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0</v>
      </c>
      <c r="C103" s="4">
        <v>0</v>
      </c>
      <c r="D103" s="4">
        <v>1</v>
      </c>
      <c r="E103" s="4">
        <v>228</v>
      </c>
      <c r="F103" s="4">
        <f>ROUND(Source!AY95,O103)</f>
        <v>1208865.92</v>
      </c>
      <c r="G103" s="4" t="s">
        <v>337</v>
      </c>
      <c r="H103" s="4" t="s">
        <v>338</v>
      </c>
      <c r="I103" s="4"/>
      <c r="J103" s="4"/>
      <c r="K103" s="4">
        <v>228</v>
      </c>
      <c r="L103" s="4">
        <v>7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">
      <c r="A104" s="4">
        <v>50</v>
      </c>
      <c r="B104" s="4">
        <v>0</v>
      </c>
      <c r="C104" s="4">
        <v>0</v>
      </c>
      <c r="D104" s="4">
        <v>1</v>
      </c>
      <c r="E104" s="4">
        <v>216</v>
      </c>
      <c r="F104" s="4">
        <f>ROUND(Source!AP95,O104)</f>
        <v>0</v>
      </c>
      <c r="G104" s="4" t="s">
        <v>339</v>
      </c>
      <c r="H104" s="4" t="s">
        <v>340</v>
      </c>
      <c r="I104" s="4"/>
      <c r="J104" s="4"/>
      <c r="K104" s="4">
        <v>216</v>
      </c>
      <c r="L104" s="4">
        <v>8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">
      <c r="A105" s="4">
        <v>50</v>
      </c>
      <c r="B105" s="4">
        <v>0</v>
      </c>
      <c r="C105" s="4">
        <v>0</v>
      </c>
      <c r="D105" s="4">
        <v>1</v>
      </c>
      <c r="E105" s="4">
        <v>223</v>
      </c>
      <c r="F105" s="4">
        <f>ROUND(Source!AQ95,O105)</f>
        <v>0</v>
      </c>
      <c r="G105" s="4" t="s">
        <v>341</v>
      </c>
      <c r="H105" s="4" t="s">
        <v>342</v>
      </c>
      <c r="I105" s="4"/>
      <c r="J105" s="4"/>
      <c r="K105" s="4">
        <v>223</v>
      </c>
      <c r="L105" s="4">
        <v>9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">
      <c r="A106" s="4">
        <v>50</v>
      </c>
      <c r="B106" s="4">
        <v>0</v>
      </c>
      <c r="C106" s="4">
        <v>0</v>
      </c>
      <c r="D106" s="4">
        <v>1</v>
      </c>
      <c r="E106" s="4">
        <v>229</v>
      </c>
      <c r="F106" s="4">
        <f>ROUND(Source!AZ95,O106)</f>
        <v>0</v>
      </c>
      <c r="G106" s="4" t="s">
        <v>343</v>
      </c>
      <c r="H106" s="4" t="s">
        <v>344</v>
      </c>
      <c r="I106" s="4"/>
      <c r="J106" s="4"/>
      <c r="K106" s="4">
        <v>229</v>
      </c>
      <c r="L106" s="4">
        <v>10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">
      <c r="A107" s="4">
        <v>50</v>
      </c>
      <c r="B107" s="4">
        <v>0</v>
      </c>
      <c r="C107" s="4">
        <v>0</v>
      </c>
      <c r="D107" s="4">
        <v>1</v>
      </c>
      <c r="E107" s="4">
        <v>203</v>
      </c>
      <c r="F107" s="4">
        <f>ROUND(Source!Q95,O107)</f>
        <v>16211.01</v>
      </c>
      <c r="G107" s="4" t="s">
        <v>345</v>
      </c>
      <c r="H107" s="4" t="s">
        <v>346</v>
      </c>
      <c r="I107" s="4"/>
      <c r="J107" s="4"/>
      <c r="K107" s="4">
        <v>203</v>
      </c>
      <c r="L107" s="4">
        <v>11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">
      <c r="A108" s="4">
        <v>50</v>
      </c>
      <c r="B108" s="4">
        <v>0</v>
      </c>
      <c r="C108" s="4">
        <v>0</v>
      </c>
      <c r="D108" s="4">
        <v>1</v>
      </c>
      <c r="E108" s="4">
        <v>231</v>
      </c>
      <c r="F108" s="4">
        <f>ROUND(Source!BB95,O108)</f>
        <v>0</v>
      </c>
      <c r="G108" s="4" t="s">
        <v>347</v>
      </c>
      <c r="H108" s="4" t="s">
        <v>348</v>
      </c>
      <c r="I108" s="4"/>
      <c r="J108" s="4"/>
      <c r="K108" s="4">
        <v>231</v>
      </c>
      <c r="L108" s="4">
        <v>12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">
      <c r="A109" s="4">
        <v>50</v>
      </c>
      <c r="B109" s="4">
        <v>0</v>
      </c>
      <c r="C109" s="4">
        <v>0</v>
      </c>
      <c r="D109" s="4">
        <v>1</v>
      </c>
      <c r="E109" s="4">
        <v>204</v>
      </c>
      <c r="F109" s="4">
        <f>ROUND(Source!R95,O109)</f>
        <v>7620.87</v>
      </c>
      <c r="G109" s="4" t="s">
        <v>349</v>
      </c>
      <c r="H109" s="4" t="s">
        <v>350</v>
      </c>
      <c r="I109" s="4"/>
      <c r="J109" s="4"/>
      <c r="K109" s="4">
        <v>204</v>
      </c>
      <c r="L109" s="4">
        <v>13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">
      <c r="A110" s="4">
        <v>50</v>
      </c>
      <c r="B110" s="4">
        <v>0</v>
      </c>
      <c r="C110" s="4">
        <v>0</v>
      </c>
      <c r="D110" s="4">
        <v>1</v>
      </c>
      <c r="E110" s="4">
        <v>205</v>
      </c>
      <c r="F110" s="4">
        <f>ROUND(Source!S95,O110)</f>
        <v>1126371.21</v>
      </c>
      <c r="G110" s="4" t="s">
        <v>351</v>
      </c>
      <c r="H110" s="4" t="s">
        <v>352</v>
      </c>
      <c r="I110" s="4"/>
      <c r="J110" s="4"/>
      <c r="K110" s="4">
        <v>205</v>
      </c>
      <c r="L110" s="4">
        <v>14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">
      <c r="A111" s="4">
        <v>50</v>
      </c>
      <c r="B111" s="4">
        <v>0</v>
      </c>
      <c r="C111" s="4">
        <v>0</v>
      </c>
      <c r="D111" s="4">
        <v>1</v>
      </c>
      <c r="E111" s="4">
        <v>232</v>
      </c>
      <c r="F111" s="4">
        <f>ROUND(Source!BC95,O111)</f>
        <v>0</v>
      </c>
      <c r="G111" s="4" t="s">
        <v>353</v>
      </c>
      <c r="H111" s="4" t="s">
        <v>354</v>
      </c>
      <c r="I111" s="4"/>
      <c r="J111" s="4"/>
      <c r="K111" s="4">
        <v>232</v>
      </c>
      <c r="L111" s="4">
        <v>15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">
      <c r="A112" s="4">
        <v>50</v>
      </c>
      <c r="B112" s="4">
        <v>0</v>
      </c>
      <c r="C112" s="4">
        <v>0</v>
      </c>
      <c r="D112" s="4">
        <v>1</v>
      </c>
      <c r="E112" s="4">
        <v>214</v>
      </c>
      <c r="F112" s="4">
        <f>ROUND(Source!AS95,O112)</f>
        <v>3722525.16</v>
      </c>
      <c r="G112" s="4" t="s">
        <v>355</v>
      </c>
      <c r="H112" s="4" t="s">
        <v>356</v>
      </c>
      <c r="I112" s="4"/>
      <c r="J112" s="4"/>
      <c r="K112" s="4">
        <v>214</v>
      </c>
      <c r="L112" s="4">
        <v>16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06" x14ac:dyDescent="0.2">
      <c r="A113" s="4">
        <v>50</v>
      </c>
      <c r="B113" s="4">
        <v>0</v>
      </c>
      <c r="C113" s="4">
        <v>0</v>
      </c>
      <c r="D113" s="4">
        <v>1</v>
      </c>
      <c r="E113" s="4">
        <v>215</v>
      </c>
      <c r="F113" s="4">
        <f>ROUND(Source!AT95,O113)</f>
        <v>0</v>
      </c>
      <c r="G113" s="4" t="s">
        <v>357</v>
      </c>
      <c r="H113" s="4" t="s">
        <v>358</v>
      </c>
      <c r="I113" s="4"/>
      <c r="J113" s="4"/>
      <c r="K113" s="4">
        <v>215</v>
      </c>
      <c r="L113" s="4">
        <v>17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06" x14ac:dyDescent="0.2">
      <c r="A114" s="4">
        <v>50</v>
      </c>
      <c r="B114" s="4">
        <v>0</v>
      </c>
      <c r="C114" s="4">
        <v>0</v>
      </c>
      <c r="D114" s="4">
        <v>1</v>
      </c>
      <c r="E114" s="4">
        <v>217</v>
      </c>
      <c r="F114" s="4">
        <f>ROUND(Source!AU95,O114)</f>
        <v>0</v>
      </c>
      <c r="G114" s="4" t="s">
        <v>359</v>
      </c>
      <c r="H114" s="4" t="s">
        <v>360</v>
      </c>
      <c r="I114" s="4"/>
      <c r="J114" s="4"/>
      <c r="K114" s="4">
        <v>217</v>
      </c>
      <c r="L114" s="4">
        <v>18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5" spans="1:206" x14ac:dyDescent="0.2">
      <c r="A115" s="4">
        <v>50</v>
      </c>
      <c r="B115" s="4">
        <v>0</v>
      </c>
      <c r="C115" s="4">
        <v>0</v>
      </c>
      <c r="D115" s="4">
        <v>1</v>
      </c>
      <c r="E115" s="4">
        <v>230</v>
      </c>
      <c r="F115" s="4">
        <f>ROUND(Source!BA95,O115)</f>
        <v>0</v>
      </c>
      <c r="G115" s="4" t="s">
        <v>361</v>
      </c>
      <c r="H115" s="4" t="s">
        <v>362</v>
      </c>
      <c r="I115" s="4"/>
      <c r="J115" s="4"/>
      <c r="K115" s="4">
        <v>230</v>
      </c>
      <c r="L115" s="4">
        <v>19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6" spans="1:206" x14ac:dyDescent="0.2">
      <c r="A116" s="4">
        <v>50</v>
      </c>
      <c r="B116" s="4">
        <v>0</v>
      </c>
      <c r="C116" s="4">
        <v>0</v>
      </c>
      <c r="D116" s="4">
        <v>1</v>
      </c>
      <c r="E116" s="4">
        <v>206</v>
      </c>
      <c r="F116" s="4">
        <f>ROUND(Source!T95,O116)</f>
        <v>0</v>
      </c>
      <c r="G116" s="4" t="s">
        <v>363</v>
      </c>
      <c r="H116" s="4" t="s">
        <v>364</v>
      </c>
      <c r="I116" s="4"/>
      <c r="J116" s="4"/>
      <c r="K116" s="4">
        <v>206</v>
      </c>
      <c r="L116" s="4">
        <v>20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06" x14ac:dyDescent="0.2">
      <c r="A117" s="4">
        <v>50</v>
      </c>
      <c r="B117" s="4">
        <v>0</v>
      </c>
      <c r="C117" s="4">
        <v>0</v>
      </c>
      <c r="D117" s="4">
        <v>1</v>
      </c>
      <c r="E117" s="4">
        <v>207</v>
      </c>
      <c r="F117" s="4">
        <f>Source!U95</f>
        <v>4618.4732981387997</v>
      </c>
      <c r="G117" s="4" t="s">
        <v>365</v>
      </c>
      <c r="H117" s="4" t="s">
        <v>366</v>
      </c>
      <c r="I117" s="4"/>
      <c r="J117" s="4"/>
      <c r="K117" s="4">
        <v>207</v>
      </c>
      <c r="L117" s="4">
        <v>21</v>
      </c>
      <c r="M117" s="4">
        <v>3</v>
      </c>
      <c r="N117" s="4" t="s">
        <v>3</v>
      </c>
      <c r="O117" s="4">
        <v>-1</v>
      </c>
      <c r="P117" s="4"/>
      <c r="Q117" s="4"/>
      <c r="R117" s="4"/>
      <c r="S117" s="4"/>
      <c r="T117" s="4"/>
      <c r="U117" s="4"/>
      <c r="V117" s="4"/>
      <c r="W117" s="4"/>
    </row>
    <row r="118" spans="1:206" x14ac:dyDescent="0.2">
      <c r="A118" s="4">
        <v>50</v>
      </c>
      <c r="B118" s="4">
        <v>0</v>
      </c>
      <c r="C118" s="4">
        <v>0</v>
      </c>
      <c r="D118" s="4">
        <v>1</v>
      </c>
      <c r="E118" s="4">
        <v>208</v>
      </c>
      <c r="F118" s="4">
        <f>Source!V95</f>
        <v>0</v>
      </c>
      <c r="G118" s="4" t="s">
        <v>367</v>
      </c>
      <c r="H118" s="4" t="s">
        <v>368</v>
      </c>
      <c r="I118" s="4"/>
      <c r="J118" s="4"/>
      <c r="K118" s="4">
        <v>208</v>
      </c>
      <c r="L118" s="4">
        <v>22</v>
      </c>
      <c r="M118" s="4">
        <v>3</v>
      </c>
      <c r="N118" s="4" t="s">
        <v>3</v>
      </c>
      <c r="O118" s="4">
        <v>-1</v>
      </c>
      <c r="P118" s="4"/>
      <c r="Q118" s="4"/>
      <c r="R118" s="4"/>
      <c r="S118" s="4"/>
      <c r="T118" s="4"/>
      <c r="U118" s="4"/>
      <c r="V118" s="4"/>
      <c r="W118" s="4"/>
    </row>
    <row r="119" spans="1:206" x14ac:dyDescent="0.2">
      <c r="A119" s="4">
        <v>50</v>
      </c>
      <c r="B119" s="4">
        <v>0</v>
      </c>
      <c r="C119" s="4">
        <v>0</v>
      </c>
      <c r="D119" s="4">
        <v>1</v>
      </c>
      <c r="E119" s="4">
        <v>209</v>
      </c>
      <c r="F119" s="4">
        <f>ROUND(Source!W95,O119)</f>
        <v>0</v>
      </c>
      <c r="G119" s="4" t="s">
        <v>369</v>
      </c>
      <c r="H119" s="4" t="s">
        <v>370</v>
      </c>
      <c r="I119" s="4"/>
      <c r="J119" s="4"/>
      <c r="K119" s="4">
        <v>209</v>
      </c>
      <c r="L119" s="4">
        <v>23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06" x14ac:dyDescent="0.2">
      <c r="A120" s="4">
        <v>50</v>
      </c>
      <c r="B120" s="4">
        <v>0</v>
      </c>
      <c r="C120" s="4">
        <v>0</v>
      </c>
      <c r="D120" s="4">
        <v>1</v>
      </c>
      <c r="E120" s="4">
        <v>210</v>
      </c>
      <c r="F120" s="4">
        <f>ROUND(Source!X95,O120)</f>
        <v>897300.05</v>
      </c>
      <c r="G120" s="4" t="s">
        <v>371</v>
      </c>
      <c r="H120" s="4" t="s">
        <v>372</v>
      </c>
      <c r="I120" s="4"/>
      <c r="J120" s="4"/>
      <c r="K120" s="4">
        <v>210</v>
      </c>
      <c r="L120" s="4">
        <v>24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06" x14ac:dyDescent="0.2">
      <c r="A121" s="4">
        <v>50</v>
      </c>
      <c r="B121" s="4">
        <v>0</v>
      </c>
      <c r="C121" s="4">
        <v>0</v>
      </c>
      <c r="D121" s="4">
        <v>1</v>
      </c>
      <c r="E121" s="4">
        <v>211</v>
      </c>
      <c r="F121" s="4">
        <f>ROUND(Source!Y95,O121)</f>
        <v>461812.22</v>
      </c>
      <c r="G121" s="4" t="s">
        <v>373</v>
      </c>
      <c r="H121" s="4" t="s">
        <v>374</v>
      </c>
      <c r="I121" s="4"/>
      <c r="J121" s="4"/>
      <c r="K121" s="4">
        <v>211</v>
      </c>
      <c r="L121" s="4">
        <v>25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06" x14ac:dyDescent="0.2">
      <c r="A122" s="4">
        <v>50</v>
      </c>
      <c r="B122" s="4">
        <v>0</v>
      </c>
      <c r="C122" s="4">
        <v>0</v>
      </c>
      <c r="D122" s="4">
        <v>1</v>
      </c>
      <c r="E122" s="4">
        <v>224</v>
      </c>
      <c r="F122" s="4">
        <f>ROUND(Source!AR95,O122)</f>
        <v>3722525.16</v>
      </c>
      <c r="G122" s="4" t="s">
        <v>375</v>
      </c>
      <c r="H122" s="4" t="s">
        <v>376</v>
      </c>
      <c r="I122" s="4"/>
      <c r="J122" s="4"/>
      <c r="K122" s="4">
        <v>224</v>
      </c>
      <c r="L122" s="4">
        <v>26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4" spans="1:206" x14ac:dyDescent="0.2">
      <c r="A124" s="2">
        <v>51</v>
      </c>
      <c r="B124" s="2">
        <f>B12</f>
        <v>159</v>
      </c>
      <c r="C124" s="2">
        <f>A12</f>
        <v>1</v>
      </c>
      <c r="D124" s="2">
        <f>ROW(A12)</f>
        <v>12</v>
      </c>
      <c r="E124" s="2"/>
      <c r="F124" s="2" t="str">
        <f>IF(F12&lt;&gt;"",F12,"")</f>
        <v/>
      </c>
      <c r="G124" s="2" t="str">
        <f>IF(G12&lt;&gt;"",G12,"")</f>
        <v>Отделка</v>
      </c>
      <c r="H124" s="2">
        <v>0</v>
      </c>
      <c r="I124" s="2"/>
      <c r="J124" s="2"/>
      <c r="K124" s="2"/>
      <c r="L124" s="2"/>
      <c r="M124" s="2"/>
      <c r="N124" s="2"/>
      <c r="O124" s="2">
        <f t="shared" ref="O124:T124" si="124">ROUND(O95,2)</f>
        <v>2351448.14</v>
      </c>
      <c r="P124" s="2">
        <f t="shared" si="124"/>
        <v>1208865.92</v>
      </c>
      <c r="Q124" s="2">
        <f t="shared" si="124"/>
        <v>16211.01</v>
      </c>
      <c r="R124" s="2">
        <f t="shared" si="124"/>
        <v>7620.87</v>
      </c>
      <c r="S124" s="2">
        <f t="shared" si="124"/>
        <v>1126371.21</v>
      </c>
      <c r="T124" s="2">
        <f t="shared" si="124"/>
        <v>0</v>
      </c>
      <c r="U124" s="2">
        <f>U95</f>
        <v>4618.4732981387997</v>
      </c>
      <c r="V124" s="2">
        <f>V95</f>
        <v>0</v>
      </c>
      <c r="W124" s="2">
        <f>ROUND(W95,2)</f>
        <v>0</v>
      </c>
      <c r="X124" s="2">
        <f>ROUND(X95,2)</f>
        <v>897300.05</v>
      </c>
      <c r="Y124" s="2">
        <f>ROUND(Y95,2)</f>
        <v>461812.22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>
        <f t="shared" ref="AO124:BC124" si="125">ROUND(AO95,2)</f>
        <v>0</v>
      </c>
      <c r="AP124" s="2">
        <f t="shared" si="125"/>
        <v>0</v>
      </c>
      <c r="AQ124" s="2">
        <f t="shared" si="125"/>
        <v>0</v>
      </c>
      <c r="AR124" s="2">
        <f t="shared" si="125"/>
        <v>3722525.16</v>
      </c>
      <c r="AS124" s="2">
        <f t="shared" si="125"/>
        <v>3722525.16</v>
      </c>
      <c r="AT124" s="2">
        <f t="shared" si="125"/>
        <v>0</v>
      </c>
      <c r="AU124" s="2">
        <f t="shared" si="125"/>
        <v>0</v>
      </c>
      <c r="AV124" s="2">
        <f t="shared" si="125"/>
        <v>1208865.92</v>
      </c>
      <c r="AW124" s="2">
        <f t="shared" si="125"/>
        <v>1208865.92</v>
      </c>
      <c r="AX124" s="2">
        <f t="shared" si="125"/>
        <v>0</v>
      </c>
      <c r="AY124" s="2">
        <f t="shared" si="125"/>
        <v>1208865.92</v>
      </c>
      <c r="AZ124" s="2">
        <f t="shared" si="125"/>
        <v>0</v>
      </c>
      <c r="BA124" s="2">
        <f t="shared" si="125"/>
        <v>0</v>
      </c>
      <c r="BB124" s="2">
        <f t="shared" si="125"/>
        <v>0</v>
      </c>
      <c r="BC124" s="2">
        <f t="shared" si="125"/>
        <v>0</v>
      </c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>
        <v>0</v>
      </c>
    </row>
    <row r="126" spans="1:206" x14ac:dyDescent="0.2">
      <c r="A126" s="4">
        <v>50</v>
      </c>
      <c r="B126" s="4">
        <v>0</v>
      </c>
      <c r="C126" s="4">
        <v>0</v>
      </c>
      <c r="D126" s="4">
        <v>1</v>
      </c>
      <c r="E126" s="4">
        <v>201</v>
      </c>
      <c r="F126" s="4">
        <f>ROUND(Source!O124,O126)</f>
        <v>2351448.14</v>
      </c>
      <c r="G126" s="4" t="s">
        <v>325</v>
      </c>
      <c r="H126" s="4" t="s">
        <v>326</v>
      </c>
      <c r="I126" s="4"/>
      <c r="J126" s="4"/>
      <c r="K126" s="4">
        <v>201</v>
      </c>
      <c r="L126" s="4">
        <v>1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06" x14ac:dyDescent="0.2">
      <c r="A127" s="4">
        <v>50</v>
      </c>
      <c r="B127" s="4">
        <v>0</v>
      </c>
      <c r="C127" s="4">
        <v>0</v>
      </c>
      <c r="D127" s="4">
        <v>1</v>
      </c>
      <c r="E127" s="4">
        <v>202</v>
      </c>
      <c r="F127" s="4">
        <f>ROUND(Source!P124,O127)</f>
        <v>1208865.92</v>
      </c>
      <c r="G127" s="4" t="s">
        <v>327</v>
      </c>
      <c r="H127" s="4" t="s">
        <v>328</v>
      </c>
      <c r="I127" s="4"/>
      <c r="J127" s="4"/>
      <c r="K127" s="4">
        <v>202</v>
      </c>
      <c r="L127" s="4">
        <v>2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06" x14ac:dyDescent="0.2">
      <c r="A128" s="4">
        <v>50</v>
      </c>
      <c r="B128" s="4">
        <v>0</v>
      </c>
      <c r="C128" s="4">
        <v>0</v>
      </c>
      <c r="D128" s="4">
        <v>1</v>
      </c>
      <c r="E128" s="4">
        <v>222</v>
      </c>
      <c r="F128" s="4">
        <f>ROUND(Source!AO124,O128)</f>
        <v>0</v>
      </c>
      <c r="G128" s="4" t="s">
        <v>329</v>
      </c>
      <c r="H128" s="4" t="s">
        <v>330</v>
      </c>
      <c r="I128" s="4"/>
      <c r="J128" s="4"/>
      <c r="K128" s="4">
        <v>222</v>
      </c>
      <c r="L128" s="4">
        <v>3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 x14ac:dyDescent="0.2">
      <c r="A129" s="4">
        <v>50</v>
      </c>
      <c r="B129" s="4">
        <v>0</v>
      </c>
      <c r="C129" s="4">
        <v>0</v>
      </c>
      <c r="D129" s="4">
        <v>1</v>
      </c>
      <c r="E129" s="4">
        <v>225</v>
      </c>
      <c r="F129" s="4">
        <f>ROUND(Source!AV124,O129)</f>
        <v>1208865.92</v>
      </c>
      <c r="G129" s="4" t="s">
        <v>331</v>
      </c>
      <c r="H129" s="4" t="s">
        <v>332</v>
      </c>
      <c r="I129" s="4"/>
      <c r="J129" s="4"/>
      <c r="K129" s="4">
        <v>225</v>
      </c>
      <c r="L129" s="4">
        <v>4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226</v>
      </c>
      <c r="F130" s="4">
        <f>ROUND(Source!AW124,O130)</f>
        <v>1208865.92</v>
      </c>
      <c r="G130" s="4" t="s">
        <v>333</v>
      </c>
      <c r="H130" s="4" t="s">
        <v>334</v>
      </c>
      <c r="I130" s="4"/>
      <c r="J130" s="4"/>
      <c r="K130" s="4">
        <v>226</v>
      </c>
      <c r="L130" s="4">
        <v>5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227</v>
      </c>
      <c r="F131" s="4">
        <f>ROUND(Source!AX124,O131)</f>
        <v>0</v>
      </c>
      <c r="G131" s="4" t="s">
        <v>335</v>
      </c>
      <c r="H131" s="4" t="s">
        <v>336</v>
      </c>
      <c r="I131" s="4"/>
      <c r="J131" s="4"/>
      <c r="K131" s="4">
        <v>227</v>
      </c>
      <c r="L131" s="4">
        <v>6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228</v>
      </c>
      <c r="F132" s="4">
        <f>ROUND(Source!AY124,O132)</f>
        <v>1208865.92</v>
      </c>
      <c r="G132" s="4" t="s">
        <v>337</v>
      </c>
      <c r="H132" s="4" t="s">
        <v>338</v>
      </c>
      <c r="I132" s="4"/>
      <c r="J132" s="4"/>
      <c r="K132" s="4">
        <v>228</v>
      </c>
      <c r="L132" s="4">
        <v>7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216</v>
      </c>
      <c r="F133" s="4">
        <f>ROUND(Source!AP124,O133)</f>
        <v>0</v>
      </c>
      <c r="G133" s="4" t="s">
        <v>339</v>
      </c>
      <c r="H133" s="4" t="s">
        <v>340</v>
      </c>
      <c r="I133" s="4"/>
      <c r="J133" s="4"/>
      <c r="K133" s="4">
        <v>216</v>
      </c>
      <c r="L133" s="4">
        <v>8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223</v>
      </c>
      <c r="F134" s="4">
        <f>ROUND(Source!AQ124,O134)</f>
        <v>0</v>
      </c>
      <c r="G134" s="4" t="s">
        <v>341</v>
      </c>
      <c r="H134" s="4" t="s">
        <v>342</v>
      </c>
      <c r="I134" s="4"/>
      <c r="J134" s="4"/>
      <c r="K134" s="4">
        <v>223</v>
      </c>
      <c r="L134" s="4">
        <v>9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229</v>
      </c>
      <c r="F135" s="4">
        <f>ROUND(Source!AZ124,O135)</f>
        <v>0</v>
      </c>
      <c r="G135" s="4" t="s">
        <v>343</v>
      </c>
      <c r="H135" s="4" t="s">
        <v>344</v>
      </c>
      <c r="I135" s="4"/>
      <c r="J135" s="4"/>
      <c r="K135" s="4">
        <v>229</v>
      </c>
      <c r="L135" s="4">
        <v>10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203</v>
      </c>
      <c r="F136" s="4">
        <f>ROUND(Source!Q124,O136)</f>
        <v>16211.01</v>
      </c>
      <c r="G136" s="4" t="s">
        <v>345</v>
      </c>
      <c r="H136" s="4" t="s">
        <v>346</v>
      </c>
      <c r="I136" s="4"/>
      <c r="J136" s="4"/>
      <c r="K136" s="4">
        <v>203</v>
      </c>
      <c r="L136" s="4">
        <v>11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231</v>
      </c>
      <c r="F137" s="4">
        <f>ROUND(Source!BB124,O137)</f>
        <v>0</v>
      </c>
      <c r="G137" s="4" t="s">
        <v>347</v>
      </c>
      <c r="H137" s="4" t="s">
        <v>348</v>
      </c>
      <c r="I137" s="4"/>
      <c r="J137" s="4"/>
      <c r="K137" s="4">
        <v>231</v>
      </c>
      <c r="L137" s="4">
        <v>12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">
      <c r="A138" s="4">
        <v>50</v>
      </c>
      <c r="B138" s="4">
        <v>0</v>
      </c>
      <c r="C138" s="4">
        <v>0</v>
      </c>
      <c r="D138" s="4">
        <v>1</v>
      </c>
      <c r="E138" s="4">
        <v>204</v>
      </c>
      <c r="F138" s="4">
        <f>ROUND(Source!R124,O138)</f>
        <v>7620.87</v>
      </c>
      <c r="G138" s="4" t="s">
        <v>349</v>
      </c>
      <c r="H138" s="4" t="s">
        <v>350</v>
      </c>
      <c r="I138" s="4"/>
      <c r="J138" s="4"/>
      <c r="K138" s="4">
        <v>204</v>
      </c>
      <c r="L138" s="4">
        <v>13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">
      <c r="A139" s="4">
        <v>50</v>
      </c>
      <c r="B139" s="4">
        <v>0</v>
      </c>
      <c r="C139" s="4">
        <v>0</v>
      </c>
      <c r="D139" s="4">
        <v>1</v>
      </c>
      <c r="E139" s="4">
        <v>205</v>
      </c>
      <c r="F139" s="4">
        <f>ROUND(Source!S124,O139)</f>
        <v>1126371.21</v>
      </c>
      <c r="G139" s="4" t="s">
        <v>351</v>
      </c>
      <c r="H139" s="4" t="s">
        <v>352</v>
      </c>
      <c r="I139" s="4"/>
      <c r="J139" s="4"/>
      <c r="K139" s="4">
        <v>205</v>
      </c>
      <c r="L139" s="4">
        <v>14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">
      <c r="A140" s="4">
        <v>50</v>
      </c>
      <c r="B140" s="4">
        <v>0</v>
      </c>
      <c r="C140" s="4">
        <v>0</v>
      </c>
      <c r="D140" s="4">
        <v>1</v>
      </c>
      <c r="E140" s="4">
        <v>232</v>
      </c>
      <c r="F140" s="4">
        <f>ROUND(Source!BC124,O140)</f>
        <v>0</v>
      </c>
      <c r="G140" s="4" t="s">
        <v>353</v>
      </c>
      <c r="H140" s="4" t="s">
        <v>354</v>
      </c>
      <c r="I140" s="4"/>
      <c r="J140" s="4"/>
      <c r="K140" s="4">
        <v>232</v>
      </c>
      <c r="L140" s="4">
        <v>15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">
      <c r="A141" s="4">
        <v>50</v>
      </c>
      <c r="B141" s="4">
        <v>0</v>
      </c>
      <c r="C141" s="4">
        <v>0</v>
      </c>
      <c r="D141" s="4">
        <v>1</v>
      </c>
      <c r="E141" s="4">
        <v>214</v>
      </c>
      <c r="F141" s="4">
        <f>ROUND(Source!AS124,O141)</f>
        <v>3722525.16</v>
      </c>
      <c r="G141" s="4" t="s">
        <v>355</v>
      </c>
      <c r="H141" s="4" t="s">
        <v>356</v>
      </c>
      <c r="I141" s="4"/>
      <c r="J141" s="4"/>
      <c r="K141" s="4">
        <v>214</v>
      </c>
      <c r="L141" s="4">
        <v>16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">
      <c r="A142" s="4">
        <v>50</v>
      </c>
      <c r="B142" s="4">
        <v>0</v>
      </c>
      <c r="C142" s="4">
        <v>0</v>
      </c>
      <c r="D142" s="4">
        <v>1</v>
      </c>
      <c r="E142" s="4">
        <v>215</v>
      </c>
      <c r="F142" s="4">
        <f>ROUND(Source!AT124,O142)</f>
        <v>0</v>
      </c>
      <c r="G142" s="4" t="s">
        <v>357</v>
      </c>
      <c r="H142" s="4" t="s">
        <v>358</v>
      </c>
      <c r="I142" s="4"/>
      <c r="J142" s="4"/>
      <c r="K142" s="4">
        <v>215</v>
      </c>
      <c r="L142" s="4">
        <v>17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">
      <c r="A143" s="4">
        <v>50</v>
      </c>
      <c r="B143" s="4">
        <v>0</v>
      </c>
      <c r="C143" s="4">
        <v>0</v>
      </c>
      <c r="D143" s="4">
        <v>1</v>
      </c>
      <c r="E143" s="4">
        <v>217</v>
      </c>
      <c r="F143" s="4">
        <f>ROUND(Source!AU124,O143)</f>
        <v>0</v>
      </c>
      <c r="G143" s="4" t="s">
        <v>359</v>
      </c>
      <c r="H143" s="4" t="s">
        <v>360</v>
      </c>
      <c r="I143" s="4"/>
      <c r="J143" s="4"/>
      <c r="K143" s="4">
        <v>217</v>
      </c>
      <c r="L143" s="4">
        <v>18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 x14ac:dyDescent="0.2">
      <c r="A144" s="4">
        <v>50</v>
      </c>
      <c r="B144" s="4">
        <v>0</v>
      </c>
      <c r="C144" s="4">
        <v>0</v>
      </c>
      <c r="D144" s="4">
        <v>1</v>
      </c>
      <c r="E144" s="4">
        <v>230</v>
      </c>
      <c r="F144" s="4">
        <f>ROUND(Source!BA124,O144)</f>
        <v>0</v>
      </c>
      <c r="G144" s="4" t="s">
        <v>361</v>
      </c>
      <c r="H144" s="4" t="s">
        <v>362</v>
      </c>
      <c r="I144" s="4"/>
      <c r="J144" s="4"/>
      <c r="K144" s="4">
        <v>230</v>
      </c>
      <c r="L144" s="4">
        <v>19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7" x14ac:dyDescent="0.2">
      <c r="A145" s="4">
        <v>50</v>
      </c>
      <c r="B145" s="4">
        <v>0</v>
      </c>
      <c r="C145" s="4">
        <v>0</v>
      </c>
      <c r="D145" s="4">
        <v>1</v>
      </c>
      <c r="E145" s="4">
        <v>206</v>
      </c>
      <c r="F145" s="4">
        <f>ROUND(Source!T124,O145)</f>
        <v>0</v>
      </c>
      <c r="G145" s="4" t="s">
        <v>363</v>
      </c>
      <c r="H145" s="4" t="s">
        <v>364</v>
      </c>
      <c r="I145" s="4"/>
      <c r="J145" s="4"/>
      <c r="K145" s="4">
        <v>206</v>
      </c>
      <c r="L145" s="4">
        <v>20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7" x14ac:dyDescent="0.2">
      <c r="A146" s="4">
        <v>50</v>
      </c>
      <c r="B146" s="4">
        <v>0</v>
      </c>
      <c r="C146" s="4">
        <v>0</v>
      </c>
      <c r="D146" s="4">
        <v>1</v>
      </c>
      <c r="E146" s="4">
        <v>207</v>
      </c>
      <c r="F146" s="4">
        <f>Source!U124</f>
        <v>4618.4732981387997</v>
      </c>
      <c r="G146" s="4" t="s">
        <v>365</v>
      </c>
      <c r="H146" s="4" t="s">
        <v>366</v>
      </c>
      <c r="I146" s="4"/>
      <c r="J146" s="4"/>
      <c r="K146" s="4">
        <v>207</v>
      </c>
      <c r="L146" s="4">
        <v>21</v>
      </c>
      <c r="M146" s="4">
        <v>3</v>
      </c>
      <c r="N146" s="4" t="s">
        <v>3</v>
      </c>
      <c r="O146" s="4">
        <v>-1</v>
      </c>
      <c r="P146" s="4"/>
      <c r="Q146" s="4"/>
      <c r="R146" s="4"/>
      <c r="S146" s="4"/>
      <c r="T146" s="4"/>
      <c r="U146" s="4"/>
      <c r="V146" s="4"/>
      <c r="W146" s="4"/>
    </row>
    <row r="147" spans="1:27" x14ac:dyDescent="0.2">
      <c r="A147" s="4">
        <v>50</v>
      </c>
      <c r="B147" s="4">
        <v>0</v>
      </c>
      <c r="C147" s="4">
        <v>0</v>
      </c>
      <c r="D147" s="4">
        <v>1</v>
      </c>
      <c r="E147" s="4">
        <v>208</v>
      </c>
      <c r="F147" s="4">
        <f>Source!V124</f>
        <v>0</v>
      </c>
      <c r="G147" s="4" t="s">
        <v>367</v>
      </c>
      <c r="H147" s="4" t="s">
        <v>368</v>
      </c>
      <c r="I147" s="4"/>
      <c r="J147" s="4"/>
      <c r="K147" s="4">
        <v>208</v>
      </c>
      <c r="L147" s="4">
        <v>22</v>
      </c>
      <c r="M147" s="4">
        <v>3</v>
      </c>
      <c r="N147" s="4" t="s">
        <v>3</v>
      </c>
      <c r="O147" s="4">
        <v>-1</v>
      </c>
      <c r="P147" s="4"/>
      <c r="Q147" s="4"/>
      <c r="R147" s="4"/>
      <c r="S147" s="4"/>
      <c r="T147" s="4"/>
      <c r="U147" s="4"/>
      <c r="V147" s="4"/>
      <c r="W147" s="4"/>
    </row>
    <row r="148" spans="1:27" x14ac:dyDescent="0.2">
      <c r="A148" s="4">
        <v>50</v>
      </c>
      <c r="B148" s="4">
        <v>0</v>
      </c>
      <c r="C148" s="4">
        <v>0</v>
      </c>
      <c r="D148" s="4">
        <v>1</v>
      </c>
      <c r="E148" s="4">
        <v>209</v>
      </c>
      <c r="F148" s="4">
        <f>ROUND(Source!W124,O148)</f>
        <v>0</v>
      </c>
      <c r="G148" s="4" t="s">
        <v>369</v>
      </c>
      <c r="H148" s="4" t="s">
        <v>370</v>
      </c>
      <c r="I148" s="4"/>
      <c r="J148" s="4"/>
      <c r="K148" s="4">
        <v>209</v>
      </c>
      <c r="L148" s="4">
        <v>23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7" x14ac:dyDescent="0.2">
      <c r="A149" s="4">
        <v>50</v>
      </c>
      <c r="B149" s="4">
        <v>0</v>
      </c>
      <c r="C149" s="4">
        <v>0</v>
      </c>
      <c r="D149" s="4">
        <v>1</v>
      </c>
      <c r="E149" s="4">
        <v>210</v>
      </c>
      <c r="F149" s="4">
        <f>ROUND(Source!X124,O149)</f>
        <v>897300.05</v>
      </c>
      <c r="G149" s="4" t="s">
        <v>371</v>
      </c>
      <c r="H149" s="4" t="s">
        <v>372</v>
      </c>
      <c r="I149" s="4"/>
      <c r="J149" s="4"/>
      <c r="K149" s="4">
        <v>210</v>
      </c>
      <c r="L149" s="4">
        <v>24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7" x14ac:dyDescent="0.2">
      <c r="A150" s="4">
        <v>50</v>
      </c>
      <c r="B150" s="4">
        <v>0</v>
      </c>
      <c r="C150" s="4">
        <v>0</v>
      </c>
      <c r="D150" s="4">
        <v>1</v>
      </c>
      <c r="E150" s="4">
        <v>211</v>
      </c>
      <c r="F150" s="4">
        <f>ROUND(Source!Y124,O150)</f>
        <v>461812.22</v>
      </c>
      <c r="G150" s="4" t="s">
        <v>373</v>
      </c>
      <c r="H150" s="4" t="s">
        <v>374</v>
      </c>
      <c r="I150" s="4"/>
      <c r="J150" s="4"/>
      <c r="K150" s="4">
        <v>211</v>
      </c>
      <c r="L150" s="4">
        <v>25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7" x14ac:dyDescent="0.2">
      <c r="A151" s="4">
        <v>50</v>
      </c>
      <c r="B151" s="4">
        <v>0</v>
      </c>
      <c r="C151" s="4">
        <v>0</v>
      </c>
      <c r="D151" s="4">
        <v>1</v>
      </c>
      <c r="E151" s="4">
        <v>224</v>
      </c>
      <c r="F151" s="4">
        <f>ROUND(Source!AR124,O151)</f>
        <v>3722525.16</v>
      </c>
      <c r="G151" s="4" t="s">
        <v>375</v>
      </c>
      <c r="H151" s="4" t="s">
        <v>376</v>
      </c>
      <c r="I151" s="4"/>
      <c r="J151" s="4"/>
      <c r="K151" s="4">
        <v>224</v>
      </c>
      <c r="L151" s="4">
        <v>26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2" spans="1:27" x14ac:dyDescent="0.2">
      <c r="A152" s="4">
        <v>50</v>
      </c>
      <c r="B152" s="4">
        <v>1</v>
      </c>
      <c r="C152" s="4">
        <v>0</v>
      </c>
      <c r="D152" s="4">
        <v>2</v>
      </c>
      <c r="E152" s="4">
        <v>0</v>
      </c>
      <c r="F152" s="4">
        <f>ROUND(F151,O152)</f>
        <v>3722525.16</v>
      </c>
      <c r="G152" s="4" t="s">
        <v>377</v>
      </c>
      <c r="H152" s="4" t="s">
        <v>378</v>
      </c>
      <c r="I152" s="4"/>
      <c r="J152" s="4"/>
      <c r="K152" s="4">
        <v>212</v>
      </c>
      <c r="L152" s="4">
        <v>27</v>
      </c>
      <c r="M152" s="4">
        <v>0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3" spans="1:27" x14ac:dyDescent="0.2">
      <c r="A153" s="4">
        <v>50</v>
      </c>
      <c r="B153" s="4">
        <v>1</v>
      </c>
      <c r="C153" s="4">
        <v>0</v>
      </c>
      <c r="D153" s="4">
        <v>2</v>
      </c>
      <c r="E153" s="4">
        <v>0</v>
      </c>
      <c r="F153" s="4">
        <f>ROUND(F152*0.2,O153)</f>
        <v>744505.03</v>
      </c>
      <c r="G153" s="4" t="s">
        <v>379</v>
      </c>
      <c r="H153" s="4" t="s">
        <v>380</v>
      </c>
      <c r="I153" s="4"/>
      <c r="J153" s="4"/>
      <c r="K153" s="4">
        <v>212</v>
      </c>
      <c r="L153" s="4">
        <v>28</v>
      </c>
      <c r="M153" s="4">
        <v>0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/>
    </row>
    <row r="154" spans="1:27" x14ac:dyDescent="0.2">
      <c r="A154" s="4">
        <v>50</v>
      </c>
      <c r="B154" s="4">
        <v>1</v>
      </c>
      <c r="C154" s="4">
        <v>0</v>
      </c>
      <c r="D154" s="4">
        <v>2</v>
      </c>
      <c r="E154" s="4">
        <v>0</v>
      </c>
      <c r="F154" s="4">
        <f>ROUND(F152+F153,O154)</f>
        <v>4467030.1900000004</v>
      </c>
      <c r="G154" s="4" t="s">
        <v>381</v>
      </c>
      <c r="H154" s="4" t="s">
        <v>382</v>
      </c>
      <c r="I154" s="4"/>
      <c r="J154" s="4"/>
      <c r="K154" s="4">
        <v>212</v>
      </c>
      <c r="L154" s="4">
        <v>29</v>
      </c>
      <c r="M154" s="4">
        <v>0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7" spans="1:27" x14ac:dyDescent="0.2">
      <c r="A157">
        <v>-1</v>
      </c>
    </row>
    <row r="159" spans="1:27" x14ac:dyDescent="0.2">
      <c r="A159" s="3">
        <v>75</v>
      </c>
      <c r="B159" s="3" t="s">
        <v>383</v>
      </c>
      <c r="C159" s="3">
        <v>2018</v>
      </c>
      <c r="D159" s="3">
        <v>0</v>
      </c>
      <c r="E159" s="3">
        <v>5</v>
      </c>
      <c r="F159" s="3"/>
      <c r="G159" s="3">
        <v>0</v>
      </c>
      <c r="H159" s="3">
        <v>2</v>
      </c>
      <c r="I159" s="3">
        <v>1</v>
      </c>
      <c r="J159" s="3">
        <v>1</v>
      </c>
      <c r="K159" s="3">
        <v>93</v>
      </c>
      <c r="L159" s="3">
        <v>64</v>
      </c>
      <c r="M159" s="3">
        <v>0</v>
      </c>
      <c r="N159" s="3">
        <v>44962055</v>
      </c>
      <c r="O159" s="3">
        <v>1</v>
      </c>
    </row>
    <row r="160" spans="1:27" x14ac:dyDescent="0.2">
      <c r="A160" s="5">
        <v>1</v>
      </c>
      <c r="B160" s="5" t="s">
        <v>384</v>
      </c>
      <c r="C160" s="5" t="s">
        <v>385</v>
      </c>
      <c r="D160" s="5">
        <v>2018</v>
      </c>
      <c r="E160" s="5">
        <v>5</v>
      </c>
      <c r="F160" s="5">
        <v>1</v>
      </c>
      <c r="G160" s="5">
        <v>1</v>
      </c>
      <c r="H160" s="5">
        <v>0</v>
      </c>
      <c r="I160" s="5">
        <v>2</v>
      </c>
      <c r="J160" s="5">
        <v>1</v>
      </c>
      <c r="K160" s="5">
        <v>1</v>
      </c>
      <c r="L160" s="5">
        <v>1</v>
      </c>
      <c r="M160" s="5">
        <v>1</v>
      </c>
      <c r="N160" s="5">
        <v>1</v>
      </c>
      <c r="O160" s="5">
        <v>1</v>
      </c>
      <c r="P160" s="5">
        <v>1</v>
      </c>
      <c r="Q160" s="5">
        <v>1</v>
      </c>
      <c r="R160" s="5" t="s">
        <v>3</v>
      </c>
      <c r="S160" s="5" t="s">
        <v>3</v>
      </c>
      <c r="T160" s="5" t="s">
        <v>3</v>
      </c>
      <c r="U160" s="5" t="s">
        <v>3</v>
      </c>
      <c r="V160" s="5" t="s">
        <v>3</v>
      </c>
      <c r="W160" s="5" t="s">
        <v>3</v>
      </c>
      <c r="X160" s="5" t="s">
        <v>3</v>
      </c>
      <c r="Y160" s="5" t="s">
        <v>3</v>
      </c>
      <c r="Z160" s="5" t="s">
        <v>3</v>
      </c>
      <c r="AA160" s="5" t="s">
        <v>386</v>
      </c>
    </row>
    <row r="164" spans="1:5" x14ac:dyDescent="0.2">
      <c r="A164">
        <v>65</v>
      </c>
      <c r="C164">
        <v>1</v>
      </c>
      <c r="D164">
        <v>0</v>
      </c>
      <c r="E164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387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62423</v>
      </c>
      <c r="M1">
        <v>10</v>
      </c>
      <c r="N1">
        <v>10</v>
      </c>
      <c r="O1">
        <v>1</v>
      </c>
      <c r="P1">
        <v>0</v>
      </c>
      <c r="Q1">
        <v>10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157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3</v>
      </c>
      <c r="CF12" s="1">
        <v>0</v>
      </c>
      <c r="CG12" s="1">
        <v>0</v>
      </c>
      <c r="CH12" s="1">
        <v>8200</v>
      </c>
      <c r="CI12" s="1" t="s">
        <v>3</v>
      </c>
      <c r="CJ12" s="1" t="s">
        <v>3</v>
      </c>
      <c r="CK12" s="1">
        <v>48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44962055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3</v>
      </c>
      <c r="D16" s="6" t="s">
        <v>10</v>
      </c>
      <c r="E16" s="7">
        <f>(Source!F112)/1000</f>
        <v>3722.5251600000001</v>
      </c>
      <c r="F16" s="7">
        <f>(Source!F113)/1000</f>
        <v>0</v>
      </c>
      <c r="G16" s="7">
        <f>(Source!F104)/1000</f>
        <v>0</v>
      </c>
      <c r="H16" s="7">
        <f>(Source!F114)/1000+(Source!F115)/1000</f>
        <v>0</v>
      </c>
      <c r="I16" s="7">
        <f>E16+F16+G16+H16</f>
        <v>3722.5251600000001</v>
      </c>
      <c r="J16" s="7">
        <f>(Source!F110)/1000</f>
        <v>1126.37121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2351448.14</v>
      </c>
      <c r="AU16" s="7">
        <v>1208865.92</v>
      </c>
      <c r="AV16" s="7">
        <v>0</v>
      </c>
      <c r="AW16" s="7">
        <v>0</v>
      </c>
      <c r="AX16" s="7">
        <v>0</v>
      </c>
      <c r="AY16" s="7">
        <v>16211.01</v>
      </c>
      <c r="AZ16" s="7">
        <v>7620.87</v>
      </c>
      <c r="BA16" s="7">
        <v>1126371.21</v>
      </c>
      <c r="BB16" s="7">
        <v>3722525.16</v>
      </c>
      <c r="BC16" s="7">
        <v>0</v>
      </c>
      <c r="BD16" s="7">
        <v>0</v>
      </c>
      <c r="BE16" s="7">
        <v>0</v>
      </c>
      <c r="BF16" s="7">
        <v>4618.4732981388006</v>
      </c>
      <c r="BG16" s="7">
        <v>0</v>
      </c>
      <c r="BH16" s="7">
        <v>0</v>
      </c>
      <c r="BI16" s="7">
        <v>897300.05</v>
      </c>
      <c r="BJ16" s="7">
        <v>461812.22</v>
      </c>
      <c r="BK16" s="7">
        <v>3722525.16</v>
      </c>
    </row>
    <row r="18" spans="1:19" x14ac:dyDescent="0.2">
      <c r="A18">
        <v>51</v>
      </c>
      <c r="E18" s="8">
        <f>SUMIF(A16:A17,3,E16:E17)</f>
        <v>3722.5251600000001</v>
      </c>
      <c r="F18" s="8">
        <f>SUMIF(A16:A17,3,F16:F17)</f>
        <v>0</v>
      </c>
      <c r="G18" s="8">
        <f>SUMIF(A16:A17,3,G16:G17)</f>
        <v>0</v>
      </c>
      <c r="H18" s="8">
        <f>SUMIF(A16:A17,3,H16:H17)</f>
        <v>0</v>
      </c>
      <c r="I18" s="8">
        <f>SUMIF(A16:A17,3,I16:I17)</f>
        <v>3722.5251600000001</v>
      </c>
      <c r="J18" s="8">
        <f>SUMIF(A16:A17,3,J16:J17)</f>
        <v>1126.37121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2351448.14</v>
      </c>
      <c r="G20" s="4" t="s">
        <v>325</v>
      </c>
      <c r="H20" s="4" t="s">
        <v>326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1208865.92</v>
      </c>
      <c r="G21" s="4" t="s">
        <v>327</v>
      </c>
      <c r="H21" s="4" t="s">
        <v>328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329</v>
      </c>
      <c r="H22" s="4" t="s">
        <v>330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1208865.92</v>
      </c>
      <c r="G23" s="4" t="s">
        <v>331</v>
      </c>
      <c r="H23" s="4" t="s">
        <v>332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1208865.92</v>
      </c>
      <c r="G24" s="4" t="s">
        <v>333</v>
      </c>
      <c r="H24" s="4" t="s">
        <v>334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335</v>
      </c>
      <c r="H25" s="4" t="s">
        <v>336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1208865.92</v>
      </c>
      <c r="G26" s="4" t="s">
        <v>337</v>
      </c>
      <c r="H26" s="4" t="s">
        <v>338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339</v>
      </c>
      <c r="H27" s="4" t="s">
        <v>340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341</v>
      </c>
      <c r="H28" s="4" t="s">
        <v>342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343</v>
      </c>
      <c r="H29" s="4" t="s">
        <v>344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16211.01</v>
      </c>
      <c r="G30" s="4" t="s">
        <v>345</v>
      </c>
      <c r="H30" s="4" t="s">
        <v>346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347</v>
      </c>
      <c r="H31" s="4" t="s">
        <v>348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7620.87</v>
      </c>
      <c r="G32" s="4" t="s">
        <v>349</v>
      </c>
      <c r="H32" s="4" t="s">
        <v>350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1126371.21</v>
      </c>
      <c r="G33" s="4" t="s">
        <v>351</v>
      </c>
      <c r="H33" s="4" t="s">
        <v>352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353</v>
      </c>
      <c r="H34" s="4" t="s">
        <v>354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3722525.16</v>
      </c>
      <c r="G35" s="4" t="s">
        <v>355</v>
      </c>
      <c r="H35" s="4" t="s">
        <v>356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357</v>
      </c>
      <c r="H36" s="4" t="s">
        <v>358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359</v>
      </c>
      <c r="H37" s="4" t="s">
        <v>360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361</v>
      </c>
      <c r="H38" s="4" t="s">
        <v>362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363</v>
      </c>
      <c r="H39" s="4" t="s">
        <v>364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4618.4732981388006</v>
      </c>
      <c r="G40" s="4" t="s">
        <v>365</v>
      </c>
      <c r="H40" s="4" t="s">
        <v>366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367</v>
      </c>
      <c r="H41" s="4" t="s">
        <v>368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369</v>
      </c>
      <c r="H42" s="4" t="s">
        <v>370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897300.05</v>
      </c>
      <c r="G43" s="4" t="s">
        <v>371</v>
      </c>
      <c r="H43" s="4" t="s">
        <v>372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461812.22</v>
      </c>
      <c r="G44" s="4" t="s">
        <v>373</v>
      </c>
      <c r="H44" s="4" t="s">
        <v>374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3722525.16</v>
      </c>
      <c r="G45" s="4" t="s">
        <v>375</v>
      </c>
      <c r="H45" s="4" t="s">
        <v>376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3722525.16</v>
      </c>
      <c r="G46" s="4" t="s">
        <v>377</v>
      </c>
      <c r="H46" s="4" t="s">
        <v>378</v>
      </c>
      <c r="I46" s="4"/>
      <c r="J46" s="4"/>
      <c r="K46" s="4">
        <v>212</v>
      </c>
      <c r="L46" s="4">
        <v>27</v>
      </c>
      <c r="M46" s="4">
        <v>0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744505.03</v>
      </c>
      <c r="G47" s="4" t="s">
        <v>379</v>
      </c>
      <c r="H47" s="4" t="s">
        <v>380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4467030.1900000004</v>
      </c>
      <c r="G48" s="4" t="s">
        <v>381</v>
      </c>
      <c r="H48" s="4" t="s">
        <v>382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50" spans="1:27" x14ac:dyDescent="0.2">
      <c r="A50">
        <v>-1</v>
      </c>
    </row>
    <row r="53" spans="1:27" x14ac:dyDescent="0.2">
      <c r="A53" s="3">
        <v>75</v>
      </c>
      <c r="B53" s="3" t="s">
        <v>383</v>
      </c>
      <c r="C53" s="3">
        <v>2018</v>
      </c>
      <c r="D53" s="3">
        <v>0</v>
      </c>
      <c r="E53" s="3">
        <v>5</v>
      </c>
      <c r="F53" s="3"/>
      <c r="G53" s="3">
        <v>0</v>
      </c>
      <c r="H53" s="3">
        <v>2</v>
      </c>
      <c r="I53" s="3">
        <v>1</v>
      </c>
      <c r="J53" s="3">
        <v>1</v>
      </c>
      <c r="K53" s="3">
        <v>93</v>
      </c>
      <c r="L53" s="3">
        <v>64</v>
      </c>
      <c r="M53" s="3">
        <v>0</v>
      </c>
      <c r="N53" s="3">
        <v>44962055</v>
      </c>
      <c r="O53" s="3">
        <v>1</v>
      </c>
    </row>
    <row r="54" spans="1:27" x14ac:dyDescent="0.2">
      <c r="A54" s="5">
        <v>1</v>
      </c>
      <c r="B54" s="5" t="s">
        <v>384</v>
      </c>
      <c r="C54" s="5" t="s">
        <v>385</v>
      </c>
      <c r="D54" s="5">
        <v>2018</v>
      </c>
      <c r="E54" s="5">
        <v>5</v>
      </c>
      <c r="F54" s="5">
        <v>1</v>
      </c>
      <c r="G54" s="5">
        <v>1</v>
      </c>
      <c r="H54" s="5">
        <v>0</v>
      </c>
      <c r="I54" s="5">
        <v>2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 t="s">
        <v>3</v>
      </c>
      <c r="S54" s="5" t="s">
        <v>3</v>
      </c>
      <c r="T54" s="5" t="s">
        <v>3</v>
      </c>
      <c r="U54" s="5" t="s">
        <v>3</v>
      </c>
      <c r="V54" s="5" t="s">
        <v>3</v>
      </c>
      <c r="W54" s="5" t="s">
        <v>3</v>
      </c>
      <c r="X54" s="5" t="s">
        <v>3</v>
      </c>
      <c r="Y54" s="5" t="s">
        <v>3</v>
      </c>
      <c r="Z54" s="5" t="s">
        <v>3</v>
      </c>
      <c r="AA54" s="5" t="s">
        <v>386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9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ROW(Source!A24)</f>
        <v>24</v>
      </c>
      <c r="B1">
        <v>44962055</v>
      </c>
      <c r="C1">
        <v>44962737</v>
      </c>
      <c r="D1">
        <v>30515951</v>
      </c>
      <c r="E1">
        <v>30515945</v>
      </c>
      <c r="F1">
        <v>1</v>
      </c>
      <c r="G1">
        <v>30515945</v>
      </c>
      <c r="H1">
        <v>1</v>
      </c>
      <c r="I1" t="s">
        <v>388</v>
      </c>
      <c r="J1" t="s">
        <v>3</v>
      </c>
      <c r="K1" t="s">
        <v>389</v>
      </c>
      <c r="L1">
        <v>1191</v>
      </c>
      <c r="N1">
        <v>1013</v>
      </c>
      <c r="O1" t="s">
        <v>390</v>
      </c>
      <c r="P1" t="s">
        <v>390</v>
      </c>
      <c r="Q1">
        <v>1</v>
      </c>
      <c r="W1">
        <v>0</v>
      </c>
      <c r="X1">
        <v>476480486</v>
      </c>
      <c r="Y1">
        <v>89.826499999999996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78.11</v>
      </c>
      <c r="AU1" t="s">
        <v>18</v>
      </c>
      <c r="AV1">
        <v>1</v>
      </c>
      <c r="AW1">
        <v>2</v>
      </c>
      <c r="AX1">
        <v>44962738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750.50040750000005</v>
      </c>
      <c r="CY1">
        <f>AD1</f>
        <v>0</v>
      </c>
      <c r="CZ1">
        <f>AH1</f>
        <v>0</v>
      </c>
      <c r="DA1">
        <f>AL1</f>
        <v>1</v>
      </c>
      <c r="DB1">
        <f>ROUND((ROUND(AT1*CZ1,2)*1.15),6)</f>
        <v>0</v>
      </c>
      <c r="DC1">
        <f>ROUND((ROUND(AT1*AG1,2)*1.15),6)</f>
        <v>0</v>
      </c>
    </row>
    <row r="2" spans="1:107" x14ac:dyDescent="0.2">
      <c r="A2">
        <f>ROW(Source!A24)</f>
        <v>24</v>
      </c>
      <c r="B2">
        <v>44962055</v>
      </c>
      <c r="C2">
        <v>44962737</v>
      </c>
      <c r="D2">
        <v>30596074</v>
      </c>
      <c r="E2">
        <v>1</v>
      </c>
      <c r="F2">
        <v>1</v>
      </c>
      <c r="G2">
        <v>30515945</v>
      </c>
      <c r="H2">
        <v>2</v>
      </c>
      <c r="I2" t="s">
        <v>391</v>
      </c>
      <c r="J2" t="s">
        <v>392</v>
      </c>
      <c r="K2" t="s">
        <v>393</v>
      </c>
      <c r="L2">
        <v>1367</v>
      </c>
      <c r="N2">
        <v>1011</v>
      </c>
      <c r="O2" t="s">
        <v>394</v>
      </c>
      <c r="P2" t="s">
        <v>394</v>
      </c>
      <c r="Q2">
        <v>1</v>
      </c>
      <c r="W2">
        <v>0</v>
      </c>
      <c r="X2">
        <v>-628430174</v>
      </c>
      <c r="Y2">
        <v>0.25</v>
      </c>
      <c r="AA2">
        <v>0</v>
      </c>
      <c r="AB2">
        <v>641.75</v>
      </c>
      <c r="AC2">
        <v>306.70999999999998</v>
      </c>
      <c r="AD2">
        <v>0</v>
      </c>
      <c r="AE2">
        <v>0</v>
      </c>
      <c r="AF2">
        <v>76.81</v>
      </c>
      <c r="AG2">
        <v>14.36</v>
      </c>
      <c r="AH2">
        <v>0</v>
      </c>
      <c r="AI2">
        <v>1</v>
      </c>
      <c r="AJ2">
        <v>7.98</v>
      </c>
      <c r="AK2">
        <v>20.399999999999999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0.2</v>
      </c>
      <c r="AU2" t="s">
        <v>17</v>
      </c>
      <c r="AV2">
        <v>0</v>
      </c>
      <c r="AW2">
        <v>2</v>
      </c>
      <c r="AX2">
        <v>44962739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2.0887500000000001</v>
      </c>
      <c r="CY2">
        <f>AB2</f>
        <v>641.75</v>
      </c>
      <c r="CZ2">
        <f>AF2</f>
        <v>76.81</v>
      </c>
      <c r="DA2">
        <f>AJ2</f>
        <v>7.98</v>
      </c>
      <c r="DB2">
        <f>ROUND((ROUND(AT2*CZ2,2)*1.25),6)</f>
        <v>19.2</v>
      </c>
      <c r="DC2">
        <f>ROUND((ROUND(AT2*AG2,2)*1.25),6)</f>
        <v>3.5874999999999999</v>
      </c>
    </row>
    <row r="3" spans="1:107" x14ac:dyDescent="0.2">
      <c r="A3">
        <f>ROW(Source!A24)</f>
        <v>24</v>
      </c>
      <c r="B3">
        <v>44962055</v>
      </c>
      <c r="C3">
        <v>44962737</v>
      </c>
      <c r="D3">
        <v>30596197</v>
      </c>
      <c r="E3">
        <v>1</v>
      </c>
      <c r="F3">
        <v>1</v>
      </c>
      <c r="G3">
        <v>30515945</v>
      </c>
      <c r="H3">
        <v>2</v>
      </c>
      <c r="I3" t="s">
        <v>395</v>
      </c>
      <c r="J3" t="s">
        <v>396</v>
      </c>
      <c r="K3" t="s">
        <v>397</v>
      </c>
      <c r="L3">
        <v>1367</v>
      </c>
      <c r="N3">
        <v>1011</v>
      </c>
      <c r="O3" t="s">
        <v>394</v>
      </c>
      <c r="P3" t="s">
        <v>394</v>
      </c>
      <c r="Q3">
        <v>1</v>
      </c>
      <c r="W3">
        <v>0</v>
      </c>
      <c r="X3">
        <v>593980231</v>
      </c>
      <c r="Y3">
        <v>0.76249999999999996</v>
      </c>
      <c r="AA3">
        <v>0</v>
      </c>
      <c r="AB3">
        <v>7.93</v>
      </c>
      <c r="AC3">
        <v>0.85</v>
      </c>
      <c r="AD3">
        <v>0</v>
      </c>
      <c r="AE3">
        <v>0</v>
      </c>
      <c r="AF3">
        <v>2.36</v>
      </c>
      <c r="AG3">
        <v>0.04</v>
      </c>
      <c r="AH3">
        <v>0</v>
      </c>
      <c r="AI3">
        <v>1</v>
      </c>
      <c r="AJ3">
        <v>3.21</v>
      </c>
      <c r="AK3">
        <v>20.399999999999999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0.61</v>
      </c>
      <c r="AU3" t="s">
        <v>17</v>
      </c>
      <c r="AV3">
        <v>0</v>
      </c>
      <c r="AW3">
        <v>2</v>
      </c>
      <c r="AX3">
        <v>44962741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6.3706874999999998</v>
      </c>
      <c r="CY3">
        <f>AB3</f>
        <v>7.93</v>
      </c>
      <c r="CZ3">
        <f>AF3</f>
        <v>2.36</v>
      </c>
      <c r="DA3">
        <f>AJ3</f>
        <v>3.21</v>
      </c>
      <c r="DB3">
        <f>ROUND((ROUND(AT3*CZ3,2)*1.25),6)</f>
        <v>1.8</v>
      </c>
      <c r="DC3">
        <f>ROUND((ROUND(AT3*AG3,2)*1.25),6)</f>
        <v>2.5000000000000001E-2</v>
      </c>
    </row>
    <row r="4" spans="1:107" x14ac:dyDescent="0.2">
      <c r="A4">
        <f>ROW(Source!A24)</f>
        <v>24</v>
      </c>
      <c r="B4">
        <v>44962055</v>
      </c>
      <c r="C4">
        <v>44962737</v>
      </c>
      <c r="D4">
        <v>30596132</v>
      </c>
      <c r="E4">
        <v>1</v>
      </c>
      <c r="F4">
        <v>1</v>
      </c>
      <c r="G4">
        <v>30515945</v>
      </c>
      <c r="H4">
        <v>2</v>
      </c>
      <c r="I4" t="s">
        <v>398</v>
      </c>
      <c r="J4" t="s">
        <v>399</v>
      </c>
      <c r="K4" t="s">
        <v>400</v>
      </c>
      <c r="L4">
        <v>1367</v>
      </c>
      <c r="N4">
        <v>1011</v>
      </c>
      <c r="O4" t="s">
        <v>394</v>
      </c>
      <c r="P4" t="s">
        <v>394</v>
      </c>
      <c r="Q4">
        <v>1</v>
      </c>
      <c r="W4">
        <v>0</v>
      </c>
      <c r="X4">
        <v>-230399397</v>
      </c>
      <c r="Y4">
        <v>0.17499999999999999</v>
      </c>
      <c r="AA4">
        <v>0</v>
      </c>
      <c r="AB4">
        <v>3.9</v>
      </c>
      <c r="AC4">
        <v>0.85</v>
      </c>
      <c r="AD4">
        <v>0</v>
      </c>
      <c r="AE4">
        <v>0</v>
      </c>
      <c r="AF4">
        <v>0.57999999999999996</v>
      </c>
      <c r="AG4">
        <v>0.04</v>
      </c>
      <c r="AH4">
        <v>0</v>
      </c>
      <c r="AI4">
        <v>1</v>
      </c>
      <c r="AJ4">
        <v>6.43</v>
      </c>
      <c r="AK4">
        <v>20.399999999999999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0.14000000000000001</v>
      </c>
      <c r="AU4" t="s">
        <v>17</v>
      </c>
      <c r="AV4">
        <v>0</v>
      </c>
      <c r="AW4">
        <v>2</v>
      </c>
      <c r="AX4">
        <v>44962742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1.4621249999999999</v>
      </c>
      <c r="CY4">
        <f>AB4</f>
        <v>3.9</v>
      </c>
      <c r="CZ4">
        <f>AF4</f>
        <v>0.57999999999999996</v>
      </c>
      <c r="DA4">
        <f>AJ4</f>
        <v>6.43</v>
      </c>
      <c r="DB4">
        <f>ROUND((ROUND(AT4*CZ4,2)*1.25),6)</f>
        <v>0.1</v>
      </c>
      <c r="DC4">
        <f>ROUND((ROUND(AT4*AG4,2)*1.25),6)</f>
        <v>1.2500000000000001E-2</v>
      </c>
    </row>
    <row r="5" spans="1:107" x14ac:dyDescent="0.2">
      <c r="A5">
        <f>ROW(Source!A24)</f>
        <v>24</v>
      </c>
      <c r="B5">
        <v>44962055</v>
      </c>
      <c r="C5">
        <v>44962737</v>
      </c>
      <c r="D5">
        <v>30596154</v>
      </c>
      <c r="E5">
        <v>1</v>
      </c>
      <c r="F5">
        <v>1</v>
      </c>
      <c r="G5">
        <v>30515945</v>
      </c>
      <c r="H5">
        <v>2</v>
      </c>
      <c r="I5" t="s">
        <v>401</v>
      </c>
      <c r="J5" t="s">
        <v>402</v>
      </c>
      <c r="K5" t="s">
        <v>403</v>
      </c>
      <c r="L5">
        <v>1367</v>
      </c>
      <c r="N5">
        <v>1011</v>
      </c>
      <c r="O5" t="s">
        <v>394</v>
      </c>
      <c r="P5" t="s">
        <v>394</v>
      </c>
      <c r="Q5">
        <v>1</v>
      </c>
      <c r="W5">
        <v>0</v>
      </c>
      <c r="X5">
        <v>926785503</v>
      </c>
      <c r="Y5">
        <v>2.5</v>
      </c>
      <c r="AA5">
        <v>0</v>
      </c>
      <c r="AB5">
        <v>5.36</v>
      </c>
      <c r="AC5">
        <v>0.85</v>
      </c>
      <c r="AD5">
        <v>0</v>
      </c>
      <c r="AE5">
        <v>0</v>
      </c>
      <c r="AF5">
        <v>0.64</v>
      </c>
      <c r="AG5">
        <v>0.04</v>
      </c>
      <c r="AH5">
        <v>0</v>
      </c>
      <c r="AI5">
        <v>1</v>
      </c>
      <c r="AJ5">
        <v>8</v>
      </c>
      <c r="AK5">
        <v>20.399999999999999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2</v>
      </c>
      <c r="AU5" t="s">
        <v>17</v>
      </c>
      <c r="AV5">
        <v>0</v>
      </c>
      <c r="AW5">
        <v>2</v>
      </c>
      <c r="AX5">
        <v>44962743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20.887500000000003</v>
      </c>
      <c r="CY5">
        <f>AB5</f>
        <v>5.36</v>
      </c>
      <c r="CZ5">
        <f>AF5</f>
        <v>0.64</v>
      </c>
      <c r="DA5">
        <f>AJ5</f>
        <v>8</v>
      </c>
      <c r="DB5">
        <f>ROUND((ROUND(AT5*CZ5,2)*1.25),6)</f>
        <v>1.6</v>
      </c>
      <c r="DC5">
        <f>ROUND((ROUND(AT5*AG5,2)*1.25),6)</f>
        <v>0.1</v>
      </c>
    </row>
    <row r="6" spans="1:107" x14ac:dyDescent="0.2">
      <c r="A6">
        <f>ROW(Source!A24)</f>
        <v>24</v>
      </c>
      <c r="B6">
        <v>44962055</v>
      </c>
      <c r="C6">
        <v>44962737</v>
      </c>
      <c r="D6">
        <v>30595318</v>
      </c>
      <c r="E6">
        <v>1</v>
      </c>
      <c r="F6">
        <v>1</v>
      </c>
      <c r="G6">
        <v>30515945</v>
      </c>
      <c r="H6">
        <v>2</v>
      </c>
      <c r="I6" t="s">
        <v>404</v>
      </c>
      <c r="J6" t="s">
        <v>405</v>
      </c>
      <c r="K6" t="s">
        <v>406</v>
      </c>
      <c r="L6">
        <v>1367</v>
      </c>
      <c r="N6">
        <v>1011</v>
      </c>
      <c r="O6" t="s">
        <v>394</v>
      </c>
      <c r="P6" t="s">
        <v>394</v>
      </c>
      <c r="Q6">
        <v>1</v>
      </c>
      <c r="W6">
        <v>0</v>
      </c>
      <c r="X6">
        <v>-94137371</v>
      </c>
      <c r="Y6">
        <v>0.25</v>
      </c>
      <c r="AA6">
        <v>0</v>
      </c>
      <c r="AB6">
        <v>968.6</v>
      </c>
      <c r="AC6">
        <v>641.4</v>
      </c>
      <c r="AD6">
        <v>0</v>
      </c>
      <c r="AE6">
        <v>0</v>
      </c>
      <c r="AF6">
        <v>102.11</v>
      </c>
      <c r="AG6">
        <v>30.03</v>
      </c>
      <c r="AH6">
        <v>0</v>
      </c>
      <c r="AI6">
        <v>1</v>
      </c>
      <c r="AJ6">
        <v>9.06</v>
      </c>
      <c r="AK6">
        <v>20.399999999999999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0.2</v>
      </c>
      <c r="AU6" t="s">
        <v>17</v>
      </c>
      <c r="AV6">
        <v>0</v>
      </c>
      <c r="AW6">
        <v>2</v>
      </c>
      <c r="AX6">
        <v>44962740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2.0887500000000001</v>
      </c>
      <c r="CY6">
        <f>AB6</f>
        <v>968.6</v>
      </c>
      <c r="CZ6">
        <f>AF6</f>
        <v>102.11</v>
      </c>
      <c r="DA6">
        <f>AJ6</f>
        <v>9.06</v>
      </c>
      <c r="DB6">
        <f>ROUND((ROUND(AT6*CZ6,2)*1.25),6)</f>
        <v>25.524999999999999</v>
      </c>
      <c r="DC6">
        <f>ROUND((ROUND(AT6*AG6,2)*1.25),6)</f>
        <v>7.5125000000000002</v>
      </c>
    </row>
    <row r="7" spans="1:107" x14ac:dyDescent="0.2">
      <c r="A7">
        <f>ROW(Source!A24)</f>
        <v>24</v>
      </c>
      <c r="B7">
        <v>44962055</v>
      </c>
      <c r="C7">
        <v>44962737</v>
      </c>
      <c r="D7">
        <v>30573936</v>
      </c>
      <c r="E7">
        <v>1</v>
      </c>
      <c r="F7">
        <v>1</v>
      </c>
      <c r="G7">
        <v>30515945</v>
      </c>
      <c r="H7">
        <v>3</v>
      </c>
      <c r="I7" t="s">
        <v>407</v>
      </c>
      <c r="J7" t="s">
        <v>408</v>
      </c>
      <c r="K7" t="s">
        <v>409</v>
      </c>
      <c r="L7">
        <v>1346</v>
      </c>
      <c r="N7">
        <v>1009</v>
      </c>
      <c r="O7" t="s">
        <v>55</v>
      </c>
      <c r="P7" t="s">
        <v>55</v>
      </c>
      <c r="Q7">
        <v>1</v>
      </c>
      <c r="W7">
        <v>0</v>
      </c>
      <c r="X7">
        <v>-663292889</v>
      </c>
      <c r="Y7">
        <v>10</v>
      </c>
      <c r="AA7">
        <v>66.47</v>
      </c>
      <c r="AB7">
        <v>0</v>
      </c>
      <c r="AC7">
        <v>0</v>
      </c>
      <c r="AD7">
        <v>0</v>
      </c>
      <c r="AE7">
        <v>17.309999999999999</v>
      </c>
      <c r="AF7">
        <v>0</v>
      </c>
      <c r="AG7">
        <v>0</v>
      </c>
      <c r="AH7">
        <v>0</v>
      </c>
      <c r="AI7">
        <v>3.84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10</v>
      </c>
      <c r="AU7" t="s">
        <v>3</v>
      </c>
      <c r="AV7">
        <v>0</v>
      </c>
      <c r="AW7">
        <v>2</v>
      </c>
      <c r="AX7">
        <v>44962744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Y7*Source!I24</f>
        <v>83.550000000000011</v>
      </c>
      <c r="CY7">
        <f t="shared" ref="CY7:CY21" si="0">AA7</f>
        <v>66.47</v>
      </c>
      <c r="CZ7">
        <f t="shared" ref="CZ7:CZ21" si="1">AE7</f>
        <v>17.309999999999999</v>
      </c>
      <c r="DA7">
        <f t="shared" ref="DA7:DA21" si="2">AI7</f>
        <v>3.84</v>
      </c>
      <c r="DB7">
        <f t="shared" ref="DB7:DB21" si="3">ROUND(ROUND(AT7*CZ7,2),6)</f>
        <v>173.1</v>
      </c>
      <c r="DC7">
        <f t="shared" ref="DC7:DC21" si="4">ROUND(ROUND(AT7*AG7,2),6)</f>
        <v>0</v>
      </c>
    </row>
    <row r="8" spans="1:107" x14ac:dyDescent="0.2">
      <c r="A8">
        <f>ROW(Source!A24)</f>
        <v>24</v>
      </c>
      <c r="B8">
        <v>44962055</v>
      </c>
      <c r="C8">
        <v>44962737</v>
      </c>
      <c r="D8">
        <v>30574373</v>
      </c>
      <c r="E8">
        <v>1</v>
      </c>
      <c r="F8">
        <v>1</v>
      </c>
      <c r="G8">
        <v>30515945</v>
      </c>
      <c r="H8">
        <v>3</v>
      </c>
      <c r="I8" t="s">
        <v>410</v>
      </c>
      <c r="J8" t="s">
        <v>411</v>
      </c>
      <c r="K8" t="s">
        <v>412</v>
      </c>
      <c r="L8">
        <v>1354</v>
      </c>
      <c r="N8">
        <v>1010</v>
      </c>
      <c r="O8" t="s">
        <v>270</v>
      </c>
      <c r="P8" t="s">
        <v>270</v>
      </c>
      <c r="Q8">
        <v>1</v>
      </c>
      <c r="W8">
        <v>0</v>
      </c>
      <c r="X8">
        <v>-1916263619</v>
      </c>
      <c r="Y8">
        <v>7</v>
      </c>
      <c r="AA8">
        <v>60.52</v>
      </c>
      <c r="AB8">
        <v>0</v>
      </c>
      <c r="AC8">
        <v>0</v>
      </c>
      <c r="AD8">
        <v>0</v>
      </c>
      <c r="AE8">
        <v>15.36</v>
      </c>
      <c r="AF8">
        <v>0</v>
      </c>
      <c r="AG8">
        <v>0</v>
      </c>
      <c r="AH8">
        <v>0</v>
      </c>
      <c r="AI8">
        <v>3.94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7</v>
      </c>
      <c r="AU8" t="s">
        <v>3</v>
      </c>
      <c r="AV8">
        <v>0</v>
      </c>
      <c r="AW8">
        <v>2</v>
      </c>
      <c r="AX8">
        <v>44962745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Y8*Source!I24</f>
        <v>58.484999999999999</v>
      </c>
      <c r="CY8">
        <f t="shared" si="0"/>
        <v>60.52</v>
      </c>
      <c r="CZ8">
        <f t="shared" si="1"/>
        <v>15.36</v>
      </c>
      <c r="DA8">
        <f t="shared" si="2"/>
        <v>3.94</v>
      </c>
      <c r="DB8">
        <f t="shared" si="3"/>
        <v>107.52</v>
      </c>
      <c r="DC8">
        <f t="shared" si="4"/>
        <v>0</v>
      </c>
    </row>
    <row r="9" spans="1:107" x14ac:dyDescent="0.2">
      <c r="A9">
        <f>ROW(Source!A24)</f>
        <v>24</v>
      </c>
      <c r="B9">
        <v>44962055</v>
      </c>
      <c r="C9">
        <v>44962737</v>
      </c>
      <c r="D9">
        <v>30574374</v>
      </c>
      <c r="E9">
        <v>1</v>
      </c>
      <c r="F9">
        <v>1</v>
      </c>
      <c r="G9">
        <v>30515945</v>
      </c>
      <c r="H9">
        <v>3</v>
      </c>
      <c r="I9" t="s">
        <v>39</v>
      </c>
      <c r="J9" t="s">
        <v>41</v>
      </c>
      <c r="K9" t="s">
        <v>40</v>
      </c>
      <c r="L9">
        <v>1301</v>
      </c>
      <c r="N9">
        <v>1003</v>
      </c>
      <c r="O9" t="s">
        <v>26</v>
      </c>
      <c r="P9" t="s">
        <v>26</v>
      </c>
      <c r="Q9">
        <v>1</v>
      </c>
      <c r="W9">
        <v>0</v>
      </c>
      <c r="X9">
        <v>1854175844</v>
      </c>
      <c r="Y9">
        <v>83</v>
      </c>
      <c r="AA9">
        <v>2.4700000000000002</v>
      </c>
      <c r="AB9">
        <v>0</v>
      </c>
      <c r="AC9">
        <v>0</v>
      </c>
      <c r="AD9">
        <v>0</v>
      </c>
      <c r="AE9">
        <v>0.89</v>
      </c>
      <c r="AF9">
        <v>0</v>
      </c>
      <c r="AG9">
        <v>0</v>
      </c>
      <c r="AH9">
        <v>0</v>
      </c>
      <c r="AI9">
        <v>2.78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83</v>
      </c>
      <c r="AU9" t="s">
        <v>3</v>
      </c>
      <c r="AV9">
        <v>0</v>
      </c>
      <c r="AW9">
        <v>2</v>
      </c>
      <c r="AX9">
        <v>44962746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Y9*Source!I24</f>
        <v>693.46500000000003</v>
      </c>
      <c r="CY9">
        <f t="shared" si="0"/>
        <v>2.4700000000000002</v>
      </c>
      <c r="CZ9">
        <f t="shared" si="1"/>
        <v>0.89</v>
      </c>
      <c r="DA9">
        <f t="shared" si="2"/>
        <v>2.78</v>
      </c>
      <c r="DB9">
        <f t="shared" si="3"/>
        <v>73.87</v>
      </c>
      <c r="DC9">
        <f t="shared" si="4"/>
        <v>0</v>
      </c>
    </row>
    <row r="10" spans="1:107" x14ac:dyDescent="0.2">
      <c r="A10">
        <f>ROW(Source!A24)</f>
        <v>24</v>
      </c>
      <c r="B10">
        <v>44962055</v>
      </c>
      <c r="C10">
        <v>44962737</v>
      </c>
      <c r="D10">
        <v>30574374</v>
      </c>
      <c r="E10">
        <v>1</v>
      </c>
      <c r="F10">
        <v>1</v>
      </c>
      <c r="G10">
        <v>30515945</v>
      </c>
      <c r="H10">
        <v>3</v>
      </c>
      <c r="I10" t="s">
        <v>39</v>
      </c>
      <c r="J10" t="s">
        <v>41</v>
      </c>
      <c r="K10" t="s">
        <v>40</v>
      </c>
      <c r="L10">
        <v>1301</v>
      </c>
      <c r="N10">
        <v>1003</v>
      </c>
      <c r="O10" t="s">
        <v>26</v>
      </c>
      <c r="P10" t="s">
        <v>26</v>
      </c>
      <c r="Q10">
        <v>1</v>
      </c>
      <c r="W10">
        <v>0</v>
      </c>
      <c r="X10">
        <v>1854175844</v>
      </c>
      <c r="Y10">
        <v>70</v>
      </c>
      <c r="AA10">
        <v>2.4700000000000002</v>
      </c>
      <c r="AB10">
        <v>0</v>
      </c>
      <c r="AC10">
        <v>0</v>
      </c>
      <c r="AD10">
        <v>0</v>
      </c>
      <c r="AE10">
        <v>0.89</v>
      </c>
      <c r="AF10">
        <v>0</v>
      </c>
      <c r="AG10">
        <v>0</v>
      </c>
      <c r="AH10">
        <v>0</v>
      </c>
      <c r="AI10">
        <v>2.78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 t="s">
        <v>3</v>
      </c>
      <c r="AT10">
        <v>70</v>
      </c>
      <c r="AU10" t="s">
        <v>3</v>
      </c>
      <c r="AV10">
        <v>0</v>
      </c>
      <c r="AW10">
        <v>1</v>
      </c>
      <c r="AX10">
        <v>-1</v>
      </c>
      <c r="AY10">
        <v>0</v>
      </c>
      <c r="AZ10">
        <v>0</v>
      </c>
      <c r="BA10" t="s">
        <v>3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Y10*Source!I24</f>
        <v>584.85</v>
      </c>
      <c r="CY10">
        <f t="shared" si="0"/>
        <v>2.4700000000000002</v>
      </c>
      <c r="CZ10">
        <f t="shared" si="1"/>
        <v>0.89</v>
      </c>
      <c r="DA10">
        <f t="shared" si="2"/>
        <v>2.78</v>
      </c>
      <c r="DB10">
        <f t="shared" si="3"/>
        <v>62.3</v>
      </c>
      <c r="DC10">
        <f t="shared" si="4"/>
        <v>0</v>
      </c>
    </row>
    <row r="11" spans="1:107" x14ac:dyDescent="0.2">
      <c r="A11">
        <f>ROW(Source!A24)</f>
        <v>24</v>
      </c>
      <c r="B11">
        <v>44962055</v>
      </c>
      <c r="C11">
        <v>44962737</v>
      </c>
      <c r="D11">
        <v>30574375</v>
      </c>
      <c r="E11">
        <v>1</v>
      </c>
      <c r="F11">
        <v>1</v>
      </c>
      <c r="G11">
        <v>30515945</v>
      </c>
      <c r="H11">
        <v>3</v>
      </c>
      <c r="I11" t="s">
        <v>413</v>
      </c>
      <c r="J11" t="s">
        <v>414</v>
      </c>
      <c r="K11" t="s">
        <v>415</v>
      </c>
      <c r="L11">
        <v>1301</v>
      </c>
      <c r="N11">
        <v>1003</v>
      </c>
      <c r="O11" t="s">
        <v>26</v>
      </c>
      <c r="P11" t="s">
        <v>26</v>
      </c>
      <c r="Q11">
        <v>1</v>
      </c>
      <c r="W11">
        <v>0</v>
      </c>
      <c r="X11">
        <v>-1510087965</v>
      </c>
      <c r="Y11">
        <v>82</v>
      </c>
      <c r="AA11">
        <v>6.2</v>
      </c>
      <c r="AB11">
        <v>0</v>
      </c>
      <c r="AC11">
        <v>0</v>
      </c>
      <c r="AD11">
        <v>0</v>
      </c>
      <c r="AE11">
        <v>1.62</v>
      </c>
      <c r="AF11">
        <v>0</v>
      </c>
      <c r="AG11">
        <v>0</v>
      </c>
      <c r="AH11">
        <v>0</v>
      </c>
      <c r="AI11">
        <v>3.83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82</v>
      </c>
      <c r="AU11" t="s">
        <v>3</v>
      </c>
      <c r="AV11">
        <v>0</v>
      </c>
      <c r="AW11">
        <v>2</v>
      </c>
      <c r="AX11">
        <v>44962747</v>
      </c>
      <c r="AY11">
        <v>1</v>
      </c>
      <c r="AZ11">
        <v>0</v>
      </c>
      <c r="BA11">
        <v>10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Y11*Source!I24</f>
        <v>685.11</v>
      </c>
      <c r="CY11">
        <f t="shared" si="0"/>
        <v>6.2</v>
      </c>
      <c r="CZ11">
        <f t="shared" si="1"/>
        <v>1.62</v>
      </c>
      <c r="DA11">
        <f t="shared" si="2"/>
        <v>3.83</v>
      </c>
      <c r="DB11">
        <f t="shared" si="3"/>
        <v>132.84</v>
      </c>
      <c r="DC11">
        <f t="shared" si="4"/>
        <v>0</v>
      </c>
    </row>
    <row r="12" spans="1:107" x14ac:dyDescent="0.2">
      <c r="A12">
        <f>ROW(Source!A24)</f>
        <v>24</v>
      </c>
      <c r="B12">
        <v>44962055</v>
      </c>
      <c r="C12">
        <v>44962737</v>
      </c>
      <c r="D12">
        <v>30574377</v>
      </c>
      <c r="E12">
        <v>1</v>
      </c>
      <c r="F12">
        <v>1</v>
      </c>
      <c r="G12">
        <v>30515945</v>
      </c>
      <c r="H12">
        <v>3</v>
      </c>
      <c r="I12" t="s">
        <v>24</v>
      </c>
      <c r="J12" t="s">
        <v>27</v>
      </c>
      <c r="K12" t="s">
        <v>25</v>
      </c>
      <c r="L12">
        <v>1301</v>
      </c>
      <c r="N12">
        <v>1003</v>
      </c>
      <c r="O12" t="s">
        <v>26</v>
      </c>
      <c r="P12" t="s">
        <v>26</v>
      </c>
      <c r="Q12">
        <v>1</v>
      </c>
      <c r="W12">
        <v>0</v>
      </c>
      <c r="X12">
        <v>-98214540</v>
      </c>
      <c r="Y12">
        <v>116</v>
      </c>
      <c r="AA12">
        <v>4.76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4.76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 t="s">
        <v>3</v>
      </c>
      <c r="AT12">
        <v>116</v>
      </c>
      <c r="AU12" t="s">
        <v>3</v>
      </c>
      <c r="AV12">
        <v>0</v>
      </c>
      <c r="AW12">
        <v>1</v>
      </c>
      <c r="AX12">
        <v>-1</v>
      </c>
      <c r="AY12">
        <v>0</v>
      </c>
      <c r="AZ12">
        <v>0</v>
      </c>
      <c r="BA12" t="s">
        <v>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Y12*Source!I24</f>
        <v>969.18000000000006</v>
      </c>
      <c r="CY12">
        <f t="shared" si="0"/>
        <v>4.76</v>
      </c>
      <c r="CZ12">
        <f t="shared" si="1"/>
        <v>1</v>
      </c>
      <c r="DA12">
        <f t="shared" si="2"/>
        <v>4.76</v>
      </c>
      <c r="DB12">
        <f t="shared" si="3"/>
        <v>116</v>
      </c>
      <c r="DC12">
        <f t="shared" si="4"/>
        <v>0</v>
      </c>
    </row>
    <row r="13" spans="1:107" x14ac:dyDescent="0.2">
      <c r="A13">
        <f>ROW(Source!A24)</f>
        <v>24</v>
      </c>
      <c r="B13">
        <v>44962055</v>
      </c>
      <c r="C13">
        <v>44962737</v>
      </c>
      <c r="D13">
        <v>30574380</v>
      </c>
      <c r="E13">
        <v>1</v>
      </c>
      <c r="F13">
        <v>1</v>
      </c>
      <c r="G13">
        <v>30515945</v>
      </c>
      <c r="H13">
        <v>3</v>
      </c>
      <c r="I13" t="s">
        <v>416</v>
      </c>
      <c r="J13" t="s">
        <v>417</v>
      </c>
      <c r="K13" t="s">
        <v>418</v>
      </c>
      <c r="L13">
        <v>1355</v>
      </c>
      <c r="N13">
        <v>1010</v>
      </c>
      <c r="O13" t="s">
        <v>419</v>
      </c>
      <c r="P13" t="s">
        <v>419</v>
      </c>
      <c r="Q13">
        <v>100</v>
      </c>
      <c r="W13">
        <v>0</v>
      </c>
      <c r="X13">
        <v>-1277154534</v>
      </c>
      <c r="Y13">
        <v>18.55</v>
      </c>
      <c r="AA13">
        <v>14.26</v>
      </c>
      <c r="AB13">
        <v>0</v>
      </c>
      <c r="AC13">
        <v>0</v>
      </c>
      <c r="AD13">
        <v>0</v>
      </c>
      <c r="AE13">
        <v>4.2699999999999996</v>
      </c>
      <c r="AF13">
        <v>0</v>
      </c>
      <c r="AG13">
        <v>0</v>
      </c>
      <c r="AH13">
        <v>0</v>
      </c>
      <c r="AI13">
        <v>3.34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18.55</v>
      </c>
      <c r="AU13" t="s">
        <v>3</v>
      </c>
      <c r="AV13">
        <v>0</v>
      </c>
      <c r="AW13">
        <v>2</v>
      </c>
      <c r="AX13">
        <v>44962748</v>
      </c>
      <c r="AY13">
        <v>1</v>
      </c>
      <c r="AZ13">
        <v>0</v>
      </c>
      <c r="BA13">
        <v>11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Y13*Source!I24</f>
        <v>154.98525000000001</v>
      </c>
      <c r="CY13">
        <f t="shared" si="0"/>
        <v>14.26</v>
      </c>
      <c r="CZ13">
        <f t="shared" si="1"/>
        <v>4.2699999999999996</v>
      </c>
      <c r="DA13">
        <f t="shared" si="2"/>
        <v>3.34</v>
      </c>
      <c r="DB13">
        <f t="shared" si="3"/>
        <v>79.209999999999994</v>
      </c>
      <c r="DC13">
        <f t="shared" si="4"/>
        <v>0</v>
      </c>
    </row>
    <row r="14" spans="1:107" x14ac:dyDescent="0.2">
      <c r="A14">
        <f>ROW(Source!A24)</f>
        <v>24</v>
      </c>
      <c r="B14">
        <v>44962055</v>
      </c>
      <c r="C14">
        <v>44962737</v>
      </c>
      <c r="D14">
        <v>30574383</v>
      </c>
      <c r="E14">
        <v>1</v>
      </c>
      <c r="F14">
        <v>1</v>
      </c>
      <c r="G14">
        <v>30515945</v>
      </c>
      <c r="H14">
        <v>3</v>
      </c>
      <c r="I14" t="s">
        <v>420</v>
      </c>
      <c r="J14" t="s">
        <v>421</v>
      </c>
      <c r="K14" t="s">
        <v>422</v>
      </c>
      <c r="L14">
        <v>1355</v>
      </c>
      <c r="N14">
        <v>1010</v>
      </c>
      <c r="O14" t="s">
        <v>419</v>
      </c>
      <c r="P14" t="s">
        <v>419</v>
      </c>
      <c r="Q14">
        <v>100</v>
      </c>
      <c r="W14">
        <v>0</v>
      </c>
      <c r="X14">
        <v>-757789641</v>
      </c>
      <c r="Y14">
        <v>1.53</v>
      </c>
      <c r="AA14">
        <v>62.21</v>
      </c>
      <c r="AB14">
        <v>0</v>
      </c>
      <c r="AC14">
        <v>0</v>
      </c>
      <c r="AD14">
        <v>0</v>
      </c>
      <c r="AE14">
        <v>43.81</v>
      </c>
      <c r="AF14">
        <v>0</v>
      </c>
      <c r="AG14">
        <v>0</v>
      </c>
      <c r="AH14">
        <v>0</v>
      </c>
      <c r="AI14">
        <v>1.42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1.53</v>
      </c>
      <c r="AU14" t="s">
        <v>3</v>
      </c>
      <c r="AV14">
        <v>0</v>
      </c>
      <c r="AW14">
        <v>2</v>
      </c>
      <c r="AX14">
        <v>44962749</v>
      </c>
      <c r="AY14">
        <v>1</v>
      </c>
      <c r="AZ14">
        <v>0</v>
      </c>
      <c r="BA14">
        <v>12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Y14*Source!I24</f>
        <v>12.783150000000001</v>
      </c>
      <c r="CY14">
        <f t="shared" si="0"/>
        <v>62.21</v>
      </c>
      <c r="CZ14">
        <f t="shared" si="1"/>
        <v>43.81</v>
      </c>
      <c r="DA14">
        <f t="shared" si="2"/>
        <v>1.42</v>
      </c>
      <c r="DB14">
        <f t="shared" si="3"/>
        <v>67.03</v>
      </c>
      <c r="DC14">
        <f t="shared" si="4"/>
        <v>0</v>
      </c>
    </row>
    <row r="15" spans="1:107" x14ac:dyDescent="0.2">
      <c r="A15">
        <f>ROW(Source!A24)</f>
        <v>24</v>
      </c>
      <c r="B15">
        <v>44962055</v>
      </c>
      <c r="C15">
        <v>44962737</v>
      </c>
      <c r="D15">
        <v>30571587</v>
      </c>
      <c r="E15">
        <v>1</v>
      </c>
      <c r="F15">
        <v>1</v>
      </c>
      <c r="G15">
        <v>30515945</v>
      </c>
      <c r="H15">
        <v>3</v>
      </c>
      <c r="I15" t="s">
        <v>34</v>
      </c>
      <c r="J15" t="s">
        <v>37</v>
      </c>
      <c r="K15" t="s">
        <v>35</v>
      </c>
      <c r="L15">
        <v>1327</v>
      </c>
      <c r="N15">
        <v>1005</v>
      </c>
      <c r="O15" t="s">
        <v>36</v>
      </c>
      <c r="P15" t="s">
        <v>36</v>
      </c>
      <c r="Q15">
        <v>1</v>
      </c>
      <c r="W15">
        <v>0</v>
      </c>
      <c r="X15">
        <v>1366669529</v>
      </c>
      <c r="Y15">
        <v>107</v>
      </c>
      <c r="AA15">
        <v>69.73</v>
      </c>
      <c r="AB15">
        <v>0</v>
      </c>
      <c r="AC15">
        <v>0</v>
      </c>
      <c r="AD15">
        <v>0</v>
      </c>
      <c r="AE15">
        <v>41.26</v>
      </c>
      <c r="AF15">
        <v>0</v>
      </c>
      <c r="AG15">
        <v>0</v>
      </c>
      <c r="AH15">
        <v>0</v>
      </c>
      <c r="AI15">
        <v>1.69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3</v>
      </c>
      <c r="AT15">
        <v>107</v>
      </c>
      <c r="AU15" t="s">
        <v>3</v>
      </c>
      <c r="AV15">
        <v>0</v>
      </c>
      <c r="AW15">
        <v>1</v>
      </c>
      <c r="AX15">
        <v>-1</v>
      </c>
      <c r="AY15">
        <v>0</v>
      </c>
      <c r="AZ15">
        <v>0</v>
      </c>
      <c r="BA15" t="s">
        <v>3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Y15*Source!I24</f>
        <v>893.98500000000001</v>
      </c>
      <c r="CY15">
        <f t="shared" si="0"/>
        <v>69.73</v>
      </c>
      <c r="CZ15">
        <f t="shared" si="1"/>
        <v>41.26</v>
      </c>
      <c r="DA15">
        <f t="shared" si="2"/>
        <v>1.69</v>
      </c>
      <c r="DB15">
        <f t="shared" si="3"/>
        <v>4414.82</v>
      </c>
      <c r="DC15">
        <f t="shared" si="4"/>
        <v>0</v>
      </c>
    </row>
    <row r="16" spans="1:107" x14ac:dyDescent="0.2">
      <c r="A16">
        <f>ROW(Source!A24)</f>
        <v>24</v>
      </c>
      <c r="B16">
        <v>44962055</v>
      </c>
      <c r="C16">
        <v>44962737</v>
      </c>
      <c r="D16">
        <v>30589848</v>
      </c>
      <c r="E16">
        <v>1</v>
      </c>
      <c r="F16">
        <v>1</v>
      </c>
      <c r="G16">
        <v>30515945</v>
      </c>
      <c r="H16">
        <v>3</v>
      </c>
      <c r="I16" t="s">
        <v>423</v>
      </c>
      <c r="J16" t="s">
        <v>424</v>
      </c>
      <c r="K16" t="s">
        <v>425</v>
      </c>
      <c r="L16">
        <v>1346</v>
      </c>
      <c r="N16">
        <v>1009</v>
      </c>
      <c r="O16" t="s">
        <v>55</v>
      </c>
      <c r="P16" t="s">
        <v>55</v>
      </c>
      <c r="Q16">
        <v>1</v>
      </c>
      <c r="W16">
        <v>0</v>
      </c>
      <c r="X16">
        <v>1856131647</v>
      </c>
      <c r="Y16">
        <v>4</v>
      </c>
      <c r="AA16">
        <v>50.15</v>
      </c>
      <c r="AB16">
        <v>0</v>
      </c>
      <c r="AC16">
        <v>0</v>
      </c>
      <c r="AD16">
        <v>0</v>
      </c>
      <c r="AE16">
        <v>14.88</v>
      </c>
      <c r="AF16">
        <v>0</v>
      </c>
      <c r="AG16">
        <v>0</v>
      </c>
      <c r="AH16">
        <v>0</v>
      </c>
      <c r="AI16">
        <v>3.37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</v>
      </c>
      <c r="AU16" t="s">
        <v>3</v>
      </c>
      <c r="AV16">
        <v>0</v>
      </c>
      <c r="AW16">
        <v>2</v>
      </c>
      <c r="AX16">
        <v>44962750</v>
      </c>
      <c r="AY16">
        <v>1</v>
      </c>
      <c r="AZ16">
        <v>0</v>
      </c>
      <c r="BA16">
        <v>13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Y16*Source!I24</f>
        <v>33.42</v>
      </c>
      <c r="CY16">
        <f t="shared" si="0"/>
        <v>50.15</v>
      </c>
      <c r="CZ16">
        <f t="shared" si="1"/>
        <v>14.88</v>
      </c>
      <c r="DA16">
        <f t="shared" si="2"/>
        <v>3.37</v>
      </c>
      <c r="DB16">
        <f t="shared" si="3"/>
        <v>59.52</v>
      </c>
      <c r="DC16">
        <f t="shared" si="4"/>
        <v>0</v>
      </c>
    </row>
    <row r="17" spans="1:107" x14ac:dyDescent="0.2">
      <c r="A17">
        <f>ROW(Source!A24)</f>
        <v>24</v>
      </c>
      <c r="B17">
        <v>44962055</v>
      </c>
      <c r="C17">
        <v>44962737</v>
      </c>
      <c r="D17">
        <v>30589849</v>
      </c>
      <c r="E17">
        <v>1</v>
      </c>
      <c r="F17">
        <v>1</v>
      </c>
      <c r="G17">
        <v>30515945</v>
      </c>
      <c r="H17">
        <v>3</v>
      </c>
      <c r="I17" t="s">
        <v>426</v>
      </c>
      <c r="J17" t="s">
        <v>427</v>
      </c>
      <c r="K17" t="s">
        <v>428</v>
      </c>
      <c r="L17">
        <v>1346</v>
      </c>
      <c r="N17">
        <v>1009</v>
      </c>
      <c r="O17" t="s">
        <v>55</v>
      </c>
      <c r="P17" t="s">
        <v>55</v>
      </c>
      <c r="Q17">
        <v>1</v>
      </c>
      <c r="W17">
        <v>0</v>
      </c>
      <c r="X17">
        <v>1180269726</v>
      </c>
      <c r="Y17">
        <v>60</v>
      </c>
      <c r="AA17">
        <v>8.3699999999999992</v>
      </c>
      <c r="AB17">
        <v>0</v>
      </c>
      <c r="AC17">
        <v>0</v>
      </c>
      <c r="AD17">
        <v>0</v>
      </c>
      <c r="AE17">
        <v>4.55</v>
      </c>
      <c r="AF17">
        <v>0</v>
      </c>
      <c r="AG17">
        <v>0</v>
      </c>
      <c r="AH17">
        <v>0</v>
      </c>
      <c r="AI17">
        <v>1.84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60</v>
      </c>
      <c r="AU17" t="s">
        <v>3</v>
      </c>
      <c r="AV17">
        <v>0</v>
      </c>
      <c r="AW17">
        <v>2</v>
      </c>
      <c r="AX17">
        <v>44962751</v>
      </c>
      <c r="AY17">
        <v>1</v>
      </c>
      <c r="AZ17">
        <v>0</v>
      </c>
      <c r="BA17">
        <v>14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Y17*Source!I24</f>
        <v>501.3</v>
      </c>
      <c r="CY17">
        <f t="shared" si="0"/>
        <v>8.3699999999999992</v>
      </c>
      <c r="CZ17">
        <f t="shared" si="1"/>
        <v>4.55</v>
      </c>
      <c r="DA17">
        <f t="shared" si="2"/>
        <v>1.84</v>
      </c>
      <c r="DB17">
        <f t="shared" si="3"/>
        <v>273</v>
      </c>
      <c r="DC17">
        <f t="shared" si="4"/>
        <v>0</v>
      </c>
    </row>
    <row r="18" spans="1:107" x14ac:dyDescent="0.2">
      <c r="A18">
        <f>ROW(Source!A24)</f>
        <v>24</v>
      </c>
      <c r="B18">
        <v>44962055</v>
      </c>
      <c r="C18">
        <v>44962737</v>
      </c>
      <c r="D18">
        <v>30589734</v>
      </c>
      <c r="E18">
        <v>1</v>
      </c>
      <c r="F18">
        <v>1</v>
      </c>
      <c r="G18">
        <v>30515945</v>
      </c>
      <c r="H18">
        <v>3</v>
      </c>
      <c r="I18" t="s">
        <v>429</v>
      </c>
      <c r="J18" t="s">
        <v>430</v>
      </c>
      <c r="K18" t="s">
        <v>431</v>
      </c>
      <c r="L18">
        <v>1346</v>
      </c>
      <c r="N18">
        <v>1009</v>
      </c>
      <c r="O18" t="s">
        <v>55</v>
      </c>
      <c r="P18" t="s">
        <v>55</v>
      </c>
      <c r="Q18">
        <v>1</v>
      </c>
      <c r="W18">
        <v>0</v>
      </c>
      <c r="X18">
        <v>2092132850</v>
      </c>
      <c r="Y18">
        <v>37</v>
      </c>
      <c r="AA18">
        <v>14.22</v>
      </c>
      <c r="AB18">
        <v>0</v>
      </c>
      <c r="AC18">
        <v>0</v>
      </c>
      <c r="AD18">
        <v>0</v>
      </c>
      <c r="AE18">
        <v>5.19</v>
      </c>
      <c r="AF18">
        <v>0</v>
      </c>
      <c r="AG18">
        <v>0</v>
      </c>
      <c r="AH18">
        <v>0</v>
      </c>
      <c r="AI18">
        <v>2.74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37</v>
      </c>
      <c r="AU18" t="s">
        <v>3</v>
      </c>
      <c r="AV18">
        <v>0</v>
      </c>
      <c r="AW18">
        <v>2</v>
      </c>
      <c r="AX18">
        <v>44962752</v>
      </c>
      <c r="AY18">
        <v>1</v>
      </c>
      <c r="AZ18">
        <v>0</v>
      </c>
      <c r="BA18">
        <v>15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Y18*Source!I24</f>
        <v>309.13499999999999</v>
      </c>
      <c r="CY18">
        <f t="shared" si="0"/>
        <v>14.22</v>
      </c>
      <c r="CZ18">
        <f t="shared" si="1"/>
        <v>5.19</v>
      </c>
      <c r="DA18">
        <f t="shared" si="2"/>
        <v>2.74</v>
      </c>
      <c r="DB18">
        <f t="shared" si="3"/>
        <v>192.03</v>
      </c>
      <c r="DC18">
        <f t="shared" si="4"/>
        <v>0</v>
      </c>
    </row>
    <row r="19" spans="1:107" x14ac:dyDescent="0.2">
      <c r="A19">
        <f>ROW(Source!A24)</f>
        <v>24</v>
      </c>
      <c r="B19">
        <v>44962055</v>
      </c>
      <c r="C19">
        <v>44962737</v>
      </c>
      <c r="D19">
        <v>30593477</v>
      </c>
      <c r="E19">
        <v>1</v>
      </c>
      <c r="F19">
        <v>1</v>
      </c>
      <c r="G19">
        <v>30515945</v>
      </c>
      <c r="H19">
        <v>3</v>
      </c>
      <c r="I19" t="s">
        <v>432</v>
      </c>
      <c r="J19" t="s">
        <v>433</v>
      </c>
      <c r="K19" t="s">
        <v>434</v>
      </c>
      <c r="L19">
        <v>1348</v>
      </c>
      <c r="N19">
        <v>1009</v>
      </c>
      <c r="O19" t="s">
        <v>77</v>
      </c>
      <c r="P19" t="s">
        <v>77</v>
      </c>
      <c r="Q19">
        <v>1000</v>
      </c>
      <c r="W19">
        <v>0</v>
      </c>
      <c r="X19">
        <v>-645455635</v>
      </c>
      <c r="Y19">
        <v>1.1039999999999999E-2</v>
      </c>
      <c r="AA19">
        <v>124811.15</v>
      </c>
      <c r="AB19">
        <v>0</v>
      </c>
      <c r="AC19">
        <v>0</v>
      </c>
      <c r="AD19">
        <v>0</v>
      </c>
      <c r="AE19">
        <v>60883.49</v>
      </c>
      <c r="AF19">
        <v>0</v>
      </c>
      <c r="AG19">
        <v>0</v>
      </c>
      <c r="AH19">
        <v>0</v>
      </c>
      <c r="AI19">
        <v>2.0499999999999998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1.1039999999999999E-2</v>
      </c>
      <c r="AU19" t="s">
        <v>3</v>
      </c>
      <c r="AV19">
        <v>0</v>
      </c>
      <c r="AW19">
        <v>2</v>
      </c>
      <c r="AX19">
        <v>44962753</v>
      </c>
      <c r="AY19">
        <v>1</v>
      </c>
      <c r="AZ19">
        <v>0</v>
      </c>
      <c r="BA19">
        <v>16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Y19*Source!I24</f>
        <v>9.2239199999999993E-2</v>
      </c>
      <c r="CY19">
        <f t="shared" si="0"/>
        <v>124811.15</v>
      </c>
      <c r="CZ19">
        <f t="shared" si="1"/>
        <v>60883.49</v>
      </c>
      <c r="DA19">
        <f t="shared" si="2"/>
        <v>2.0499999999999998</v>
      </c>
      <c r="DB19">
        <f t="shared" si="3"/>
        <v>672.15</v>
      </c>
      <c r="DC19">
        <f t="shared" si="4"/>
        <v>0</v>
      </c>
    </row>
    <row r="20" spans="1:107" x14ac:dyDescent="0.2">
      <c r="A20">
        <f>ROW(Source!A24)</f>
        <v>24</v>
      </c>
      <c r="B20">
        <v>44962055</v>
      </c>
      <c r="C20">
        <v>44962737</v>
      </c>
      <c r="D20">
        <v>30593480</v>
      </c>
      <c r="E20">
        <v>1</v>
      </c>
      <c r="F20">
        <v>1</v>
      </c>
      <c r="G20">
        <v>30515945</v>
      </c>
      <c r="H20">
        <v>3</v>
      </c>
      <c r="I20" t="s">
        <v>29</v>
      </c>
      <c r="J20" t="s">
        <v>31</v>
      </c>
      <c r="K20" t="s">
        <v>30</v>
      </c>
      <c r="L20">
        <v>1301</v>
      </c>
      <c r="N20">
        <v>1003</v>
      </c>
      <c r="O20" t="s">
        <v>26</v>
      </c>
      <c r="P20" t="s">
        <v>26</v>
      </c>
      <c r="Q20">
        <v>1</v>
      </c>
      <c r="W20">
        <v>0</v>
      </c>
      <c r="X20">
        <v>-706929149</v>
      </c>
      <c r="Y20">
        <v>121</v>
      </c>
      <c r="AA20">
        <v>49.99</v>
      </c>
      <c r="AB20">
        <v>0</v>
      </c>
      <c r="AC20">
        <v>0</v>
      </c>
      <c r="AD20">
        <v>0</v>
      </c>
      <c r="AE20">
        <v>23.58</v>
      </c>
      <c r="AF20">
        <v>0</v>
      </c>
      <c r="AG20">
        <v>0</v>
      </c>
      <c r="AH20">
        <v>0</v>
      </c>
      <c r="AI20">
        <v>2.12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3</v>
      </c>
      <c r="AT20">
        <v>121</v>
      </c>
      <c r="AU20" t="s">
        <v>3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3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Y20*Source!I24</f>
        <v>1010.955</v>
      </c>
      <c r="CY20">
        <f t="shared" si="0"/>
        <v>49.99</v>
      </c>
      <c r="CZ20">
        <f t="shared" si="1"/>
        <v>23.58</v>
      </c>
      <c r="DA20">
        <f t="shared" si="2"/>
        <v>2.12</v>
      </c>
      <c r="DB20">
        <f t="shared" si="3"/>
        <v>2853.18</v>
      </c>
      <c r="DC20">
        <f t="shared" si="4"/>
        <v>0</v>
      </c>
    </row>
    <row r="21" spans="1:107" x14ac:dyDescent="0.2">
      <c r="A21">
        <f>ROW(Source!A24)</f>
        <v>24</v>
      </c>
      <c r="B21">
        <v>44962055</v>
      </c>
      <c r="C21">
        <v>44962737</v>
      </c>
      <c r="D21">
        <v>30593480</v>
      </c>
      <c r="E21">
        <v>1</v>
      </c>
      <c r="F21">
        <v>1</v>
      </c>
      <c r="G21">
        <v>30515945</v>
      </c>
      <c r="H21">
        <v>3</v>
      </c>
      <c r="I21" t="s">
        <v>29</v>
      </c>
      <c r="J21" t="s">
        <v>31</v>
      </c>
      <c r="K21" t="s">
        <v>30</v>
      </c>
      <c r="L21">
        <v>1301</v>
      </c>
      <c r="N21">
        <v>1003</v>
      </c>
      <c r="O21" t="s">
        <v>26</v>
      </c>
      <c r="P21" t="s">
        <v>26</v>
      </c>
      <c r="Q21">
        <v>1</v>
      </c>
      <c r="W21">
        <v>0</v>
      </c>
      <c r="X21">
        <v>-706929149</v>
      </c>
      <c r="Y21">
        <v>225</v>
      </c>
      <c r="AA21">
        <v>49.99</v>
      </c>
      <c r="AB21">
        <v>0</v>
      </c>
      <c r="AC21">
        <v>0</v>
      </c>
      <c r="AD21">
        <v>0</v>
      </c>
      <c r="AE21">
        <v>23.58</v>
      </c>
      <c r="AF21">
        <v>0</v>
      </c>
      <c r="AG21">
        <v>0</v>
      </c>
      <c r="AH21">
        <v>0</v>
      </c>
      <c r="AI21">
        <v>2.12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3</v>
      </c>
      <c r="AT21">
        <v>225</v>
      </c>
      <c r="AU21" t="s">
        <v>3</v>
      </c>
      <c r="AV21">
        <v>0</v>
      </c>
      <c r="AW21">
        <v>1</v>
      </c>
      <c r="AX21">
        <v>-1</v>
      </c>
      <c r="AY21">
        <v>0</v>
      </c>
      <c r="AZ21">
        <v>0</v>
      </c>
      <c r="BA21" t="s">
        <v>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Y21*Source!I24</f>
        <v>1879.875</v>
      </c>
      <c r="CY21">
        <f t="shared" si="0"/>
        <v>49.99</v>
      </c>
      <c r="CZ21">
        <f t="shared" si="1"/>
        <v>23.58</v>
      </c>
      <c r="DA21">
        <f t="shared" si="2"/>
        <v>2.12</v>
      </c>
      <c r="DB21">
        <f t="shared" si="3"/>
        <v>5305.5</v>
      </c>
      <c r="DC21">
        <f t="shared" si="4"/>
        <v>0</v>
      </c>
    </row>
    <row r="22" spans="1:107" x14ac:dyDescent="0.2">
      <c r="A22">
        <f>ROW(Source!A30)</f>
        <v>30</v>
      </c>
      <c r="B22">
        <v>44962055</v>
      </c>
      <c r="C22">
        <v>44962990</v>
      </c>
      <c r="D22">
        <v>30515951</v>
      </c>
      <c r="E22">
        <v>30515945</v>
      </c>
      <c r="F22">
        <v>1</v>
      </c>
      <c r="G22">
        <v>30515945</v>
      </c>
      <c r="H22">
        <v>1</v>
      </c>
      <c r="I22" t="s">
        <v>388</v>
      </c>
      <c r="J22" t="s">
        <v>3</v>
      </c>
      <c r="K22" t="s">
        <v>389</v>
      </c>
      <c r="L22">
        <v>1191</v>
      </c>
      <c r="N22">
        <v>1013</v>
      </c>
      <c r="O22" t="s">
        <v>390</v>
      </c>
      <c r="P22" t="s">
        <v>390</v>
      </c>
      <c r="Q22">
        <v>1</v>
      </c>
      <c r="W22">
        <v>0</v>
      </c>
      <c r="X22">
        <v>476480486</v>
      </c>
      <c r="Y22">
        <v>27.277999999999999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3</v>
      </c>
      <c r="AT22">
        <v>23.72</v>
      </c>
      <c r="AU22" t="s">
        <v>18</v>
      </c>
      <c r="AV22">
        <v>1</v>
      </c>
      <c r="AW22">
        <v>2</v>
      </c>
      <c r="AX22">
        <v>44962991</v>
      </c>
      <c r="AY22">
        <v>1</v>
      </c>
      <c r="AZ22">
        <v>0</v>
      </c>
      <c r="BA22">
        <v>21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Y22*Source!I30</f>
        <v>227.90769</v>
      </c>
      <c r="CY22">
        <f>AD22</f>
        <v>0</v>
      </c>
      <c r="CZ22">
        <f>AH22</f>
        <v>0</v>
      </c>
      <c r="DA22">
        <f>AL22</f>
        <v>1</v>
      </c>
      <c r="DB22">
        <f>ROUND((ROUND(AT22*CZ22,2)*1.15),6)</f>
        <v>0</v>
      </c>
      <c r="DC22">
        <f>ROUND((ROUND(AT22*AG22,2)*1.15),6)</f>
        <v>0</v>
      </c>
    </row>
    <row r="23" spans="1:107" x14ac:dyDescent="0.2">
      <c r="A23">
        <f>ROW(Source!A30)</f>
        <v>30</v>
      </c>
      <c r="B23">
        <v>44962055</v>
      </c>
      <c r="C23">
        <v>44962990</v>
      </c>
      <c r="D23">
        <v>30596074</v>
      </c>
      <c r="E23">
        <v>1</v>
      </c>
      <c r="F23">
        <v>1</v>
      </c>
      <c r="G23">
        <v>30515945</v>
      </c>
      <c r="H23">
        <v>2</v>
      </c>
      <c r="I23" t="s">
        <v>391</v>
      </c>
      <c r="J23" t="s">
        <v>392</v>
      </c>
      <c r="K23" t="s">
        <v>393</v>
      </c>
      <c r="L23">
        <v>1367</v>
      </c>
      <c r="N23">
        <v>1011</v>
      </c>
      <c r="O23" t="s">
        <v>394</v>
      </c>
      <c r="P23" t="s">
        <v>394</v>
      </c>
      <c r="Q23">
        <v>1</v>
      </c>
      <c r="W23">
        <v>0</v>
      </c>
      <c r="X23">
        <v>-628430174</v>
      </c>
      <c r="Y23">
        <v>2.5000000000000001E-2</v>
      </c>
      <c r="AA23">
        <v>0</v>
      </c>
      <c r="AB23">
        <v>628.27</v>
      </c>
      <c r="AC23">
        <v>300.27</v>
      </c>
      <c r="AD23">
        <v>0</v>
      </c>
      <c r="AE23">
        <v>0</v>
      </c>
      <c r="AF23">
        <v>76.81</v>
      </c>
      <c r="AG23">
        <v>14.36</v>
      </c>
      <c r="AH23">
        <v>0</v>
      </c>
      <c r="AI23">
        <v>1</v>
      </c>
      <c r="AJ23">
        <v>7.98</v>
      </c>
      <c r="AK23">
        <v>20.399999999999999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0.02</v>
      </c>
      <c r="AU23" t="s">
        <v>17</v>
      </c>
      <c r="AV23">
        <v>0</v>
      </c>
      <c r="AW23">
        <v>2</v>
      </c>
      <c r="AX23">
        <v>44962992</v>
      </c>
      <c r="AY23">
        <v>1</v>
      </c>
      <c r="AZ23">
        <v>0</v>
      </c>
      <c r="BA23">
        <v>22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0.20887500000000003</v>
      </c>
      <c r="CY23">
        <f>AB23</f>
        <v>628.27</v>
      </c>
      <c r="CZ23">
        <f>AF23</f>
        <v>76.81</v>
      </c>
      <c r="DA23">
        <f>AJ23</f>
        <v>7.98</v>
      </c>
      <c r="DB23">
        <f>ROUND((ROUND(AT23*CZ23,2)*1.25),6)</f>
        <v>1.925</v>
      </c>
      <c r="DC23">
        <f>ROUND((ROUND(AT23*AG23,2)*1.25),6)</f>
        <v>0.36249999999999999</v>
      </c>
    </row>
    <row r="24" spans="1:107" x14ac:dyDescent="0.2">
      <c r="A24">
        <f>ROW(Source!A30)</f>
        <v>30</v>
      </c>
      <c r="B24">
        <v>44962055</v>
      </c>
      <c r="C24">
        <v>44962990</v>
      </c>
      <c r="D24">
        <v>30596185</v>
      </c>
      <c r="E24">
        <v>1</v>
      </c>
      <c r="F24">
        <v>1</v>
      </c>
      <c r="G24">
        <v>30515945</v>
      </c>
      <c r="H24">
        <v>2</v>
      </c>
      <c r="I24" t="s">
        <v>435</v>
      </c>
      <c r="J24" t="s">
        <v>436</v>
      </c>
      <c r="K24" t="s">
        <v>437</v>
      </c>
      <c r="L24">
        <v>1367</v>
      </c>
      <c r="N24">
        <v>1011</v>
      </c>
      <c r="O24" t="s">
        <v>394</v>
      </c>
      <c r="P24" t="s">
        <v>394</v>
      </c>
      <c r="Q24">
        <v>1</v>
      </c>
      <c r="W24">
        <v>0</v>
      </c>
      <c r="X24">
        <v>-1279784445</v>
      </c>
      <c r="Y24">
        <v>3.1875</v>
      </c>
      <c r="AA24">
        <v>0</v>
      </c>
      <c r="AB24">
        <v>9.2200000000000006</v>
      </c>
      <c r="AC24">
        <v>0.21</v>
      </c>
      <c r="AD24">
        <v>0</v>
      </c>
      <c r="AE24">
        <v>0</v>
      </c>
      <c r="AF24">
        <v>1.76</v>
      </c>
      <c r="AG24">
        <v>0.01</v>
      </c>
      <c r="AH24">
        <v>0</v>
      </c>
      <c r="AI24">
        <v>1</v>
      </c>
      <c r="AJ24">
        <v>5.1100000000000003</v>
      </c>
      <c r="AK24">
        <v>20.399999999999999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2.5499999999999998</v>
      </c>
      <c r="AU24" t="s">
        <v>17</v>
      </c>
      <c r="AV24">
        <v>0</v>
      </c>
      <c r="AW24">
        <v>2</v>
      </c>
      <c r="AX24">
        <v>44962993</v>
      </c>
      <c r="AY24">
        <v>1</v>
      </c>
      <c r="AZ24">
        <v>0</v>
      </c>
      <c r="BA24">
        <v>23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26.631562500000001</v>
      </c>
      <c r="CY24">
        <f>AB24</f>
        <v>9.2200000000000006</v>
      </c>
      <c r="CZ24">
        <f>AF24</f>
        <v>1.76</v>
      </c>
      <c r="DA24">
        <f>AJ24</f>
        <v>5.1100000000000003</v>
      </c>
      <c r="DB24">
        <f>ROUND((ROUND(AT24*CZ24,2)*1.25),6)</f>
        <v>5.6124999999999998</v>
      </c>
      <c r="DC24">
        <f>ROUND((ROUND(AT24*AG24,2)*1.25),6)</f>
        <v>3.7499999999999999E-2</v>
      </c>
    </row>
    <row r="25" spans="1:107" x14ac:dyDescent="0.2">
      <c r="A25">
        <f>ROW(Source!A30)</f>
        <v>30</v>
      </c>
      <c r="B25">
        <v>44962055</v>
      </c>
      <c r="C25">
        <v>44962990</v>
      </c>
      <c r="D25">
        <v>30516999</v>
      </c>
      <c r="E25">
        <v>30515945</v>
      </c>
      <c r="F25">
        <v>1</v>
      </c>
      <c r="G25">
        <v>30515945</v>
      </c>
      <c r="H25">
        <v>2</v>
      </c>
      <c r="I25" t="s">
        <v>438</v>
      </c>
      <c r="J25" t="s">
        <v>3</v>
      </c>
      <c r="K25" t="s">
        <v>439</v>
      </c>
      <c r="L25">
        <v>1344</v>
      </c>
      <c r="N25">
        <v>1008</v>
      </c>
      <c r="O25" t="s">
        <v>440</v>
      </c>
      <c r="P25" t="s">
        <v>440</v>
      </c>
      <c r="Q25">
        <v>1</v>
      </c>
      <c r="W25">
        <v>0</v>
      </c>
      <c r="X25">
        <v>-1180195794</v>
      </c>
      <c r="Y25">
        <v>1.2500000000000001E-2</v>
      </c>
      <c r="AA25">
        <v>0</v>
      </c>
      <c r="AB25">
        <v>1.03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0.01</v>
      </c>
      <c r="AU25" t="s">
        <v>17</v>
      </c>
      <c r="AV25">
        <v>0</v>
      </c>
      <c r="AW25">
        <v>2</v>
      </c>
      <c r="AX25">
        <v>44962994</v>
      </c>
      <c r="AY25">
        <v>1</v>
      </c>
      <c r="AZ25">
        <v>0</v>
      </c>
      <c r="BA25">
        <v>24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0.10443750000000002</v>
      </c>
      <c r="CY25">
        <f>AB25</f>
        <v>1.03</v>
      </c>
      <c r="CZ25">
        <f>AF25</f>
        <v>1</v>
      </c>
      <c r="DA25">
        <f>AJ25</f>
        <v>1</v>
      </c>
      <c r="DB25">
        <f>ROUND((ROUND(AT25*CZ25,2)*1.25),6)</f>
        <v>1.2500000000000001E-2</v>
      </c>
      <c r="DC25">
        <f>ROUND((ROUND(AT25*AG25,2)*1.25),6)</f>
        <v>0</v>
      </c>
    </row>
    <row r="26" spans="1:107" x14ac:dyDescent="0.2">
      <c r="A26">
        <f>ROW(Source!A30)</f>
        <v>30</v>
      </c>
      <c r="B26">
        <v>44962055</v>
      </c>
      <c r="C26">
        <v>44962990</v>
      </c>
      <c r="D26">
        <v>30571181</v>
      </c>
      <c r="E26">
        <v>1</v>
      </c>
      <c r="F26">
        <v>1</v>
      </c>
      <c r="G26">
        <v>30515945</v>
      </c>
      <c r="H26">
        <v>3</v>
      </c>
      <c r="I26" t="s">
        <v>441</v>
      </c>
      <c r="J26" t="s">
        <v>442</v>
      </c>
      <c r="K26" t="s">
        <v>443</v>
      </c>
      <c r="L26">
        <v>1339</v>
      </c>
      <c r="N26">
        <v>1007</v>
      </c>
      <c r="O26" t="s">
        <v>140</v>
      </c>
      <c r="P26" t="s">
        <v>140</v>
      </c>
      <c r="Q26">
        <v>1</v>
      </c>
      <c r="W26">
        <v>0</v>
      </c>
      <c r="X26">
        <v>-862991314</v>
      </c>
      <c r="Y26">
        <v>6.0999999999999999E-2</v>
      </c>
      <c r="AA26">
        <v>29.98</v>
      </c>
      <c r="AB26">
        <v>0</v>
      </c>
      <c r="AC26">
        <v>0</v>
      </c>
      <c r="AD26">
        <v>0</v>
      </c>
      <c r="AE26">
        <v>7.07</v>
      </c>
      <c r="AF26">
        <v>0</v>
      </c>
      <c r="AG26">
        <v>0</v>
      </c>
      <c r="AH26">
        <v>0</v>
      </c>
      <c r="AI26">
        <v>4.24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6.0999999999999999E-2</v>
      </c>
      <c r="AU26" t="s">
        <v>3</v>
      </c>
      <c r="AV26">
        <v>0</v>
      </c>
      <c r="AW26">
        <v>2</v>
      </c>
      <c r="AX26">
        <v>44962995</v>
      </c>
      <c r="AY26">
        <v>1</v>
      </c>
      <c r="AZ26">
        <v>0</v>
      </c>
      <c r="BA26">
        <v>25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Y26*Source!I30</f>
        <v>0.50965499999999997</v>
      </c>
      <c r="CY26">
        <f t="shared" ref="CY26:CY31" si="5">AA26</f>
        <v>29.98</v>
      </c>
      <c r="CZ26">
        <f t="shared" ref="CZ26:CZ31" si="6">AE26</f>
        <v>7.07</v>
      </c>
      <c r="DA26">
        <f t="shared" ref="DA26:DA31" si="7">AI26</f>
        <v>4.24</v>
      </c>
      <c r="DB26">
        <f t="shared" ref="DB26:DB31" si="8">ROUND(ROUND(AT26*CZ26,2),6)</f>
        <v>0.43</v>
      </c>
      <c r="DC26">
        <f t="shared" ref="DC26:DC31" si="9">ROUND(ROUND(AT26*AG26,2),6)</f>
        <v>0</v>
      </c>
    </row>
    <row r="27" spans="1:107" x14ac:dyDescent="0.2">
      <c r="A27">
        <f>ROW(Source!A30)</f>
        <v>30</v>
      </c>
      <c r="B27">
        <v>44962055</v>
      </c>
      <c r="C27">
        <v>44962990</v>
      </c>
      <c r="D27">
        <v>30572394</v>
      </c>
      <c r="E27">
        <v>1</v>
      </c>
      <c r="F27">
        <v>1</v>
      </c>
      <c r="G27">
        <v>30515945</v>
      </c>
      <c r="H27">
        <v>3</v>
      </c>
      <c r="I27" t="s">
        <v>444</v>
      </c>
      <c r="J27" t="s">
        <v>445</v>
      </c>
      <c r="K27" t="s">
        <v>446</v>
      </c>
      <c r="L27">
        <v>1327</v>
      </c>
      <c r="N27">
        <v>1005</v>
      </c>
      <c r="O27" t="s">
        <v>36</v>
      </c>
      <c r="P27" t="s">
        <v>36</v>
      </c>
      <c r="Q27">
        <v>1</v>
      </c>
      <c r="W27">
        <v>0</v>
      </c>
      <c r="X27">
        <v>-216611581</v>
      </c>
      <c r="Y27">
        <v>1.21</v>
      </c>
      <c r="AA27">
        <v>148.72</v>
      </c>
      <c r="AB27">
        <v>0</v>
      </c>
      <c r="AC27">
        <v>0</v>
      </c>
      <c r="AD27">
        <v>0</v>
      </c>
      <c r="AE27">
        <v>104</v>
      </c>
      <c r="AF27">
        <v>0</v>
      </c>
      <c r="AG27">
        <v>0</v>
      </c>
      <c r="AH27">
        <v>0</v>
      </c>
      <c r="AI27">
        <v>1.43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1.21</v>
      </c>
      <c r="AU27" t="s">
        <v>3</v>
      </c>
      <c r="AV27">
        <v>0</v>
      </c>
      <c r="AW27">
        <v>2</v>
      </c>
      <c r="AX27">
        <v>44962996</v>
      </c>
      <c r="AY27">
        <v>1</v>
      </c>
      <c r="AZ27">
        <v>0</v>
      </c>
      <c r="BA27">
        <v>26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Y27*Source!I30</f>
        <v>10.10955</v>
      </c>
      <c r="CY27">
        <f t="shared" si="5"/>
        <v>148.72</v>
      </c>
      <c r="CZ27">
        <f t="shared" si="6"/>
        <v>104</v>
      </c>
      <c r="DA27">
        <f t="shared" si="7"/>
        <v>1.43</v>
      </c>
      <c r="DB27">
        <f t="shared" si="8"/>
        <v>125.84</v>
      </c>
      <c r="DC27">
        <f t="shared" si="9"/>
        <v>0</v>
      </c>
    </row>
    <row r="28" spans="1:107" x14ac:dyDescent="0.2">
      <c r="A28">
        <f>ROW(Source!A30)</f>
        <v>30</v>
      </c>
      <c r="B28">
        <v>44962055</v>
      </c>
      <c r="C28">
        <v>44962990</v>
      </c>
      <c r="D28">
        <v>30572628</v>
      </c>
      <c r="E28">
        <v>1</v>
      </c>
      <c r="F28">
        <v>1</v>
      </c>
      <c r="G28">
        <v>30515945</v>
      </c>
      <c r="H28">
        <v>3</v>
      </c>
      <c r="I28" t="s">
        <v>447</v>
      </c>
      <c r="J28" t="s">
        <v>448</v>
      </c>
      <c r="K28" t="s">
        <v>449</v>
      </c>
      <c r="L28">
        <v>1327</v>
      </c>
      <c r="N28">
        <v>1005</v>
      </c>
      <c r="O28" t="s">
        <v>36</v>
      </c>
      <c r="P28" t="s">
        <v>36</v>
      </c>
      <c r="Q28">
        <v>1</v>
      </c>
      <c r="W28">
        <v>0</v>
      </c>
      <c r="X28">
        <v>250823185</v>
      </c>
      <c r="Y28">
        <v>8.6199999999999992</v>
      </c>
      <c r="AA28">
        <v>14.22</v>
      </c>
      <c r="AB28">
        <v>0</v>
      </c>
      <c r="AC28">
        <v>0</v>
      </c>
      <c r="AD28">
        <v>0</v>
      </c>
      <c r="AE28">
        <v>10.53</v>
      </c>
      <c r="AF28">
        <v>0</v>
      </c>
      <c r="AG28">
        <v>0</v>
      </c>
      <c r="AH28">
        <v>0</v>
      </c>
      <c r="AI28">
        <v>1.35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8.6199999999999992</v>
      </c>
      <c r="AU28" t="s">
        <v>3</v>
      </c>
      <c r="AV28">
        <v>0</v>
      </c>
      <c r="AW28">
        <v>2</v>
      </c>
      <c r="AX28">
        <v>44962997</v>
      </c>
      <c r="AY28">
        <v>1</v>
      </c>
      <c r="AZ28">
        <v>0</v>
      </c>
      <c r="BA28">
        <v>27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Y28*Source!I30</f>
        <v>72.020099999999999</v>
      </c>
      <c r="CY28">
        <f t="shared" si="5"/>
        <v>14.22</v>
      </c>
      <c r="CZ28">
        <f t="shared" si="6"/>
        <v>10.53</v>
      </c>
      <c r="DA28">
        <f t="shared" si="7"/>
        <v>1.35</v>
      </c>
      <c r="DB28">
        <f t="shared" si="8"/>
        <v>90.77</v>
      </c>
      <c r="DC28">
        <f t="shared" si="9"/>
        <v>0</v>
      </c>
    </row>
    <row r="29" spans="1:107" x14ac:dyDescent="0.2">
      <c r="A29">
        <f>ROW(Source!A30)</f>
        <v>30</v>
      </c>
      <c r="B29">
        <v>44962055</v>
      </c>
      <c r="C29">
        <v>44962990</v>
      </c>
      <c r="D29">
        <v>30589840</v>
      </c>
      <c r="E29">
        <v>1</v>
      </c>
      <c r="F29">
        <v>1</v>
      </c>
      <c r="G29">
        <v>30515945</v>
      </c>
      <c r="H29">
        <v>3</v>
      </c>
      <c r="I29" t="s">
        <v>53</v>
      </c>
      <c r="J29" t="s">
        <v>56</v>
      </c>
      <c r="K29" t="s">
        <v>54</v>
      </c>
      <c r="L29">
        <v>1346</v>
      </c>
      <c r="N29">
        <v>1009</v>
      </c>
      <c r="O29" t="s">
        <v>55</v>
      </c>
      <c r="P29" t="s">
        <v>55</v>
      </c>
      <c r="Q29">
        <v>1</v>
      </c>
      <c r="W29">
        <v>0</v>
      </c>
      <c r="X29">
        <v>1666916737</v>
      </c>
      <c r="Y29">
        <v>77.900000000000006</v>
      </c>
      <c r="AA29">
        <v>19.98</v>
      </c>
      <c r="AB29">
        <v>0</v>
      </c>
      <c r="AC29">
        <v>0</v>
      </c>
      <c r="AD29">
        <v>0</v>
      </c>
      <c r="AE29">
        <v>8.8800000000000008</v>
      </c>
      <c r="AF29">
        <v>0</v>
      </c>
      <c r="AG29">
        <v>0</v>
      </c>
      <c r="AH29">
        <v>0</v>
      </c>
      <c r="AI29">
        <v>2.25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S29" t="s">
        <v>3</v>
      </c>
      <c r="AT29">
        <v>77.900000000000006</v>
      </c>
      <c r="AU29" t="s">
        <v>3</v>
      </c>
      <c r="AV29">
        <v>0</v>
      </c>
      <c r="AW29">
        <v>1</v>
      </c>
      <c r="AX29">
        <v>-1</v>
      </c>
      <c r="AY29">
        <v>0</v>
      </c>
      <c r="AZ29">
        <v>0</v>
      </c>
      <c r="BA29" t="s">
        <v>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650.85450000000003</v>
      </c>
      <c r="CY29">
        <f t="shared" si="5"/>
        <v>19.98</v>
      </c>
      <c r="CZ29">
        <f t="shared" si="6"/>
        <v>8.8800000000000008</v>
      </c>
      <c r="DA29">
        <f t="shared" si="7"/>
        <v>2.25</v>
      </c>
      <c r="DB29">
        <f t="shared" si="8"/>
        <v>691.75</v>
      </c>
      <c r="DC29">
        <f t="shared" si="9"/>
        <v>0</v>
      </c>
    </row>
    <row r="30" spans="1:107" x14ac:dyDescent="0.2">
      <c r="A30">
        <f>ROW(Source!A30)</f>
        <v>30</v>
      </c>
      <c r="B30">
        <v>44962055</v>
      </c>
      <c r="C30">
        <v>44962990</v>
      </c>
      <c r="D30">
        <v>30593478</v>
      </c>
      <c r="E30">
        <v>1</v>
      </c>
      <c r="F30">
        <v>1</v>
      </c>
      <c r="G30">
        <v>30515945</v>
      </c>
      <c r="H30">
        <v>3</v>
      </c>
      <c r="I30" t="s">
        <v>49</v>
      </c>
      <c r="J30" t="s">
        <v>51</v>
      </c>
      <c r="K30" t="s">
        <v>50</v>
      </c>
      <c r="L30">
        <v>1301</v>
      </c>
      <c r="N30">
        <v>1003</v>
      </c>
      <c r="O30" t="s">
        <v>26</v>
      </c>
      <c r="P30" t="s">
        <v>26</v>
      </c>
      <c r="Q30">
        <v>1</v>
      </c>
      <c r="W30">
        <v>0</v>
      </c>
      <c r="X30">
        <v>2109513808</v>
      </c>
      <c r="Y30">
        <v>10.199999999999999</v>
      </c>
      <c r="AA30">
        <v>12.96</v>
      </c>
      <c r="AB30">
        <v>0</v>
      </c>
      <c r="AC30">
        <v>0</v>
      </c>
      <c r="AD30">
        <v>0</v>
      </c>
      <c r="AE30">
        <v>4.5</v>
      </c>
      <c r="AF30">
        <v>0</v>
      </c>
      <c r="AG30">
        <v>0</v>
      </c>
      <c r="AH30">
        <v>0</v>
      </c>
      <c r="AI30">
        <v>2.88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10.199999999999999</v>
      </c>
      <c r="AU30" t="s">
        <v>3</v>
      </c>
      <c r="AV30">
        <v>0</v>
      </c>
      <c r="AW30">
        <v>2</v>
      </c>
      <c r="AX30">
        <v>44962998</v>
      </c>
      <c r="AY30">
        <v>1</v>
      </c>
      <c r="AZ30">
        <v>0</v>
      </c>
      <c r="BA30">
        <v>28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85.221000000000004</v>
      </c>
      <c r="CY30">
        <f t="shared" si="5"/>
        <v>12.96</v>
      </c>
      <c r="CZ30">
        <f t="shared" si="6"/>
        <v>4.5</v>
      </c>
      <c r="DA30">
        <f t="shared" si="7"/>
        <v>2.88</v>
      </c>
      <c r="DB30">
        <f t="shared" si="8"/>
        <v>45.9</v>
      </c>
      <c r="DC30">
        <f t="shared" si="9"/>
        <v>0</v>
      </c>
    </row>
    <row r="31" spans="1:107" x14ac:dyDescent="0.2">
      <c r="A31">
        <f>ROW(Source!A30)</f>
        <v>30</v>
      </c>
      <c r="B31">
        <v>44962055</v>
      </c>
      <c r="C31">
        <v>44962990</v>
      </c>
      <c r="D31">
        <v>30593478</v>
      </c>
      <c r="E31">
        <v>1</v>
      </c>
      <c r="F31">
        <v>1</v>
      </c>
      <c r="G31">
        <v>30515945</v>
      </c>
      <c r="H31">
        <v>3</v>
      </c>
      <c r="I31" t="s">
        <v>49</v>
      </c>
      <c r="J31" t="s">
        <v>51</v>
      </c>
      <c r="K31" t="s">
        <v>50</v>
      </c>
      <c r="L31">
        <v>1301</v>
      </c>
      <c r="N31">
        <v>1003</v>
      </c>
      <c r="O31" t="s">
        <v>26</v>
      </c>
      <c r="P31" t="s">
        <v>26</v>
      </c>
      <c r="Q31">
        <v>1</v>
      </c>
      <c r="W31">
        <v>0</v>
      </c>
      <c r="X31">
        <v>2109513808</v>
      </c>
      <c r="Y31">
        <v>96.110113999999996</v>
      </c>
      <c r="AA31">
        <v>12.96</v>
      </c>
      <c r="AB31">
        <v>0</v>
      </c>
      <c r="AC31">
        <v>0</v>
      </c>
      <c r="AD31">
        <v>0</v>
      </c>
      <c r="AE31">
        <v>4.5</v>
      </c>
      <c r="AF31">
        <v>0</v>
      </c>
      <c r="AG31">
        <v>0</v>
      </c>
      <c r="AH31">
        <v>0</v>
      </c>
      <c r="AI31">
        <v>2.88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 t="s">
        <v>3</v>
      </c>
      <c r="AT31">
        <v>96.110113999999996</v>
      </c>
      <c r="AU31" t="s">
        <v>3</v>
      </c>
      <c r="AV31">
        <v>0</v>
      </c>
      <c r="AW31">
        <v>1</v>
      </c>
      <c r="AX31">
        <v>-1</v>
      </c>
      <c r="AY31">
        <v>0</v>
      </c>
      <c r="AZ31">
        <v>0</v>
      </c>
      <c r="BA31" t="s">
        <v>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Y31*Source!I30</f>
        <v>803.00000247000003</v>
      </c>
      <c r="CY31">
        <f t="shared" si="5"/>
        <v>12.96</v>
      </c>
      <c r="CZ31">
        <f t="shared" si="6"/>
        <v>4.5</v>
      </c>
      <c r="DA31">
        <f t="shared" si="7"/>
        <v>2.88</v>
      </c>
      <c r="DB31">
        <f t="shared" si="8"/>
        <v>432.5</v>
      </c>
      <c r="DC31">
        <f t="shared" si="9"/>
        <v>0</v>
      </c>
    </row>
    <row r="32" spans="1:107" x14ac:dyDescent="0.2">
      <c r="A32">
        <f>ROW(Source!A33)</f>
        <v>33</v>
      </c>
      <c r="B32">
        <v>44962055</v>
      </c>
      <c r="C32">
        <v>44963038</v>
      </c>
      <c r="D32">
        <v>30515951</v>
      </c>
      <c r="E32">
        <v>30515945</v>
      </c>
      <c r="F32">
        <v>1</v>
      </c>
      <c r="G32">
        <v>30515945</v>
      </c>
      <c r="H32">
        <v>1</v>
      </c>
      <c r="I32" t="s">
        <v>388</v>
      </c>
      <c r="J32" t="s">
        <v>3</v>
      </c>
      <c r="K32" t="s">
        <v>389</v>
      </c>
      <c r="L32">
        <v>1191</v>
      </c>
      <c r="N32">
        <v>1013</v>
      </c>
      <c r="O32" t="s">
        <v>390</v>
      </c>
      <c r="P32" t="s">
        <v>390</v>
      </c>
      <c r="Q32">
        <v>1</v>
      </c>
      <c r="W32">
        <v>0</v>
      </c>
      <c r="X32">
        <v>476480486</v>
      </c>
      <c r="Y32">
        <v>5.3475000000000001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4.6500000000000004</v>
      </c>
      <c r="AU32" t="s">
        <v>18</v>
      </c>
      <c r="AV32">
        <v>1</v>
      </c>
      <c r="AW32">
        <v>2</v>
      </c>
      <c r="AX32">
        <v>44963043</v>
      </c>
      <c r="AY32">
        <v>1</v>
      </c>
      <c r="AZ32">
        <v>0</v>
      </c>
      <c r="BA32">
        <v>30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44.678362500000006</v>
      </c>
      <c r="CY32">
        <f>AD32</f>
        <v>0</v>
      </c>
      <c r="CZ32">
        <f>AH32</f>
        <v>0</v>
      </c>
      <c r="DA32">
        <f>AL32</f>
        <v>1</v>
      </c>
      <c r="DB32">
        <f>ROUND((ROUND(AT32*CZ32,2)*1.15),6)</f>
        <v>0</v>
      </c>
      <c r="DC32">
        <f>ROUND((ROUND(AT32*AG32,2)*1.15),6)</f>
        <v>0</v>
      </c>
    </row>
    <row r="33" spans="1:107" x14ac:dyDescent="0.2">
      <c r="A33">
        <f>ROW(Source!A33)</f>
        <v>33</v>
      </c>
      <c r="B33">
        <v>44962055</v>
      </c>
      <c r="C33">
        <v>44963038</v>
      </c>
      <c r="D33">
        <v>30596074</v>
      </c>
      <c r="E33">
        <v>1</v>
      </c>
      <c r="F33">
        <v>1</v>
      </c>
      <c r="G33">
        <v>30515945</v>
      </c>
      <c r="H33">
        <v>2</v>
      </c>
      <c r="I33" t="s">
        <v>391</v>
      </c>
      <c r="J33" t="s">
        <v>392</v>
      </c>
      <c r="K33" t="s">
        <v>393</v>
      </c>
      <c r="L33">
        <v>1367</v>
      </c>
      <c r="N33">
        <v>1011</v>
      </c>
      <c r="O33" t="s">
        <v>394</v>
      </c>
      <c r="P33" t="s">
        <v>394</v>
      </c>
      <c r="Q33">
        <v>1</v>
      </c>
      <c r="W33">
        <v>0</v>
      </c>
      <c r="X33">
        <v>-628430174</v>
      </c>
      <c r="Y33">
        <v>1.2500000000000001E-2</v>
      </c>
      <c r="AA33">
        <v>0</v>
      </c>
      <c r="AB33">
        <v>628.27</v>
      </c>
      <c r="AC33">
        <v>300.27</v>
      </c>
      <c r="AD33">
        <v>0</v>
      </c>
      <c r="AE33">
        <v>0</v>
      </c>
      <c r="AF33">
        <v>76.81</v>
      </c>
      <c r="AG33">
        <v>14.36</v>
      </c>
      <c r="AH33">
        <v>0</v>
      </c>
      <c r="AI33">
        <v>1</v>
      </c>
      <c r="AJ33">
        <v>7.98</v>
      </c>
      <c r="AK33">
        <v>20.399999999999999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0.01</v>
      </c>
      <c r="AU33" t="s">
        <v>17</v>
      </c>
      <c r="AV33">
        <v>0</v>
      </c>
      <c r="AW33">
        <v>2</v>
      </c>
      <c r="AX33">
        <v>44963044</v>
      </c>
      <c r="AY33">
        <v>1</v>
      </c>
      <c r="AZ33">
        <v>0</v>
      </c>
      <c r="BA33">
        <v>31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Y33*Source!I33</f>
        <v>0.10443750000000002</v>
      </c>
      <c r="CY33">
        <f>AB33</f>
        <v>628.27</v>
      </c>
      <c r="CZ33">
        <f>AF33</f>
        <v>76.81</v>
      </c>
      <c r="DA33">
        <f>AJ33</f>
        <v>7.98</v>
      </c>
      <c r="DB33">
        <f>ROUND((ROUND(AT33*CZ33,2)*1.25),6)</f>
        <v>0.96250000000000002</v>
      </c>
      <c r="DC33">
        <f>ROUND((ROUND(AT33*AG33,2)*1.25),6)</f>
        <v>0.17499999999999999</v>
      </c>
    </row>
    <row r="34" spans="1:107" x14ac:dyDescent="0.2">
      <c r="A34">
        <f>ROW(Source!A33)</f>
        <v>33</v>
      </c>
      <c r="B34">
        <v>44962055</v>
      </c>
      <c r="C34">
        <v>44963038</v>
      </c>
      <c r="D34">
        <v>30596185</v>
      </c>
      <c r="E34">
        <v>1</v>
      </c>
      <c r="F34">
        <v>1</v>
      </c>
      <c r="G34">
        <v>30515945</v>
      </c>
      <c r="H34">
        <v>2</v>
      </c>
      <c r="I34" t="s">
        <v>435</v>
      </c>
      <c r="J34" t="s">
        <v>436</v>
      </c>
      <c r="K34" t="s">
        <v>437</v>
      </c>
      <c r="L34">
        <v>1367</v>
      </c>
      <c r="N34">
        <v>1011</v>
      </c>
      <c r="O34" t="s">
        <v>394</v>
      </c>
      <c r="P34" t="s">
        <v>394</v>
      </c>
      <c r="Q34">
        <v>1</v>
      </c>
      <c r="W34">
        <v>0</v>
      </c>
      <c r="X34">
        <v>-1279784445</v>
      </c>
      <c r="Y34">
        <v>3.7499999999999999E-2</v>
      </c>
      <c r="AA34">
        <v>0</v>
      </c>
      <c r="AB34">
        <v>9.2200000000000006</v>
      </c>
      <c r="AC34">
        <v>0.21</v>
      </c>
      <c r="AD34">
        <v>0</v>
      </c>
      <c r="AE34">
        <v>0</v>
      </c>
      <c r="AF34">
        <v>1.76</v>
      </c>
      <c r="AG34">
        <v>0.01</v>
      </c>
      <c r="AH34">
        <v>0</v>
      </c>
      <c r="AI34">
        <v>1</v>
      </c>
      <c r="AJ34">
        <v>5.1100000000000003</v>
      </c>
      <c r="AK34">
        <v>20.399999999999999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S34" t="s">
        <v>3</v>
      </c>
      <c r="AT34">
        <v>0.03</v>
      </c>
      <c r="AU34" t="s">
        <v>17</v>
      </c>
      <c r="AV34">
        <v>0</v>
      </c>
      <c r="AW34">
        <v>2</v>
      </c>
      <c r="AX34">
        <v>44963045</v>
      </c>
      <c r="AY34">
        <v>1</v>
      </c>
      <c r="AZ34">
        <v>0</v>
      </c>
      <c r="BA34">
        <v>32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Y34*Source!I33</f>
        <v>0.31331249999999999</v>
      </c>
      <c r="CY34">
        <f>AB34</f>
        <v>9.2200000000000006</v>
      </c>
      <c r="CZ34">
        <f>AF34</f>
        <v>1.76</v>
      </c>
      <c r="DA34">
        <f>AJ34</f>
        <v>5.1100000000000003</v>
      </c>
      <c r="DB34">
        <f>ROUND((ROUND(AT34*CZ34,2)*1.25),6)</f>
        <v>6.25E-2</v>
      </c>
      <c r="DC34">
        <f>ROUND((ROUND(AT34*AG34,2)*1.25),6)</f>
        <v>0</v>
      </c>
    </row>
    <row r="35" spans="1:107" x14ac:dyDescent="0.2">
      <c r="A35">
        <f>ROW(Source!A33)</f>
        <v>33</v>
      </c>
      <c r="B35">
        <v>44962055</v>
      </c>
      <c r="C35">
        <v>44963038</v>
      </c>
      <c r="D35">
        <v>30573547</v>
      </c>
      <c r="E35">
        <v>1</v>
      </c>
      <c r="F35">
        <v>1</v>
      </c>
      <c r="G35">
        <v>30515945</v>
      </c>
      <c r="H35">
        <v>3</v>
      </c>
      <c r="I35" t="s">
        <v>64</v>
      </c>
      <c r="J35" t="s">
        <v>66</v>
      </c>
      <c r="K35" t="s">
        <v>65</v>
      </c>
      <c r="L35">
        <v>1346</v>
      </c>
      <c r="N35">
        <v>1009</v>
      </c>
      <c r="O35" t="s">
        <v>55</v>
      </c>
      <c r="P35" t="s">
        <v>55</v>
      </c>
      <c r="Q35">
        <v>1</v>
      </c>
      <c r="W35">
        <v>0</v>
      </c>
      <c r="X35">
        <v>33071459</v>
      </c>
      <c r="Y35">
        <v>10.3</v>
      </c>
      <c r="AA35">
        <v>34.49</v>
      </c>
      <c r="AB35">
        <v>0</v>
      </c>
      <c r="AC35">
        <v>0</v>
      </c>
      <c r="AD35">
        <v>0</v>
      </c>
      <c r="AE35">
        <v>28.98</v>
      </c>
      <c r="AF35">
        <v>0</v>
      </c>
      <c r="AG35">
        <v>0</v>
      </c>
      <c r="AH35">
        <v>0</v>
      </c>
      <c r="AI35">
        <v>1.19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3</v>
      </c>
      <c r="AT35">
        <v>10.3</v>
      </c>
      <c r="AU35" t="s">
        <v>3</v>
      </c>
      <c r="AV35">
        <v>0</v>
      </c>
      <c r="AW35">
        <v>1</v>
      </c>
      <c r="AX35">
        <v>-1</v>
      </c>
      <c r="AY35">
        <v>0</v>
      </c>
      <c r="AZ35">
        <v>0</v>
      </c>
      <c r="BA35" t="s">
        <v>3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Y35*Source!I33</f>
        <v>86.056500000000014</v>
      </c>
      <c r="CY35">
        <f>AA35</f>
        <v>34.49</v>
      </c>
      <c r="CZ35">
        <f>AE35</f>
        <v>28.98</v>
      </c>
      <c r="DA35">
        <f>AI35</f>
        <v>1.19</v>
      </c>
      <c r="DB35">
        <f>ROUND(ROUND(AT35*CZ35,2),6)</f>
        <v>298.49</v>
      </c>
      <c r="DC35">
        <f>ROUND(ROUND(AT35*AG35,2),6)</f>
        <v>0</v>
      </c>
    </row>
    <row r="36" spans="1:107" x14ac:dyDescent="0.2">
      <c r="A36">
        <f>ROW(Source!A35)</f>
        <v>35</v>
      </c>
      <c r="B36">
        <v>44962055</v>
      </c>
      <c r="C36">
        <v>44963015</v>
      </c>
      <c r="D36">
        <v>30515951</v>
      </c>
      <c r="E36">
        <v>30515945</v>
      </c>
      <c r="F36">
        <v>1</v>
      </c>
      <c r="G36">
        <v>30515945</v>
      </c>
      <c r="H36">
        <v>1</v>
      </c>
      <c r="I36" t="s">
        <v>388</v>
      </c>
      <c r="J36" t="s">
        <v>3</v>
      </c>
      <c r="K36" t="s">
        <v>389</v>
      </c>
      <c r="L36">
        <v>1191</v>
      </c>
      <c r="N36">
        <v>1013</v>
      </c>
      <c r="O36" t="s">
        <v>390</v>
      </c>
      <c r="P36" t="s">
        <v>390</v>
      </c>
      <c r="Q36">
        <v>1</v>
      </c>
      <c r="W36">
        <v>0</v>
      </c>
      <c r="X36">
        <v>476480486</v>
      </c>
      <c r="Y36">
        <v>180.55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157</v>
      </c>
      <c r="AU36" t="s">
        <v>18</v>
      </c>
      <c r="AV36">
        <v>1</v>
      </c>
      <c r="AW36">
        <v>2</v>
      </c>
      <c r="AX36">
        <v>44963016</v>
      </c>
      <c r="AY36">
        <v>1</v>
      </c>
      <c r="AZ36">
        <v>0</v>
      </c>
      <c r="BA36">
        <v>34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Y36*Source!I35</f>
        <v>1508.4952500000002</v>
      </c>
      <c r="CY36">
        <f>AD36</f>
        <v>0</v>
      </c>
      <c r="CZ36">
        <f>AH36</f>
        <v>0</v>
      </c>
      <c r="DA36">
        <f>AL36</f>
        <v>1</v>
      </c>
      <c r="DB36">
        <f>ROUND((ROUND(AT36*CZ36,2)*1.15),6)</f>
        <v>0</v>
      </c>
      <c r="DC36">
        <f>ROUND((ROUND(AT36*AG36,2)*1.15),6)</f>
        <v>0</v>
      </c>
    </row>
    <row r="37" spans="1:107" x14ac:dyDescent="0.2">
      <c r="A37">
        <f>ROW(Source!A35)</f>
        <v>35</v>
      </c>
      <c r="B37">
        <v>44962055</v>
      </c>
      <c r="C37">
        <v>44963015</v>
      </c>
      <c r="D37">
        <v>30516999</v>
      </c>
      <c r="E37">
        <v>30515945</v>
      </c>
      <c r="F37">
        <v>1</v>
      </c>
      <c r="G37">
        <v>30515945</v>
      </c>
      <c r="H37">
        <v>2</v>
      </c>
      <c r="I37" t="s">
        <v>438</v>
      </c>
      <c r="J37" t="s">
        <v>3</v>
      </c>
      <c r="K37" t="s">
        <v>439</v>
      </c>
      <c r="L37">
        <v>1344</v>
      </c>
      <c r="N37">
        <v>1008</v>
      </c>
      <c r="O37" t="s">
        <v>440</v>
      </c>
      <c r="P37" t="s">
        <v>440</v>
      </c>
      <c r="Q37">
        <v>1</v>
      </c>
      <c r="W37">
        <v>0</v>
      </c>
      <c r="X37">
        <v>-1180195794</v>
      </c>
      <c r="Y37">
        <v>4.6749999999999998</v>
      </c>
      <c r="AA37">
        <v>0</v>
      </c>
      <c r="AB37">
        <v>1.03</v>
      </c>
      <c r="AC37">
        <v>0</v>
      </c>
      <c r="AD37">
        <v>0</v>
      </c>
      <c r="AE37">
        <v>0</v>
      </c>
      <c r="AF37">
        <v>1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3.74</v>
      </c>
      <c r="AU37" t="s">
        <v>17</v>
      </c>
      <c r="AV37">
        <v>0</v>
      </c>
      <c r="AW37">
        <v>2</v>
      </c>
      <c r="AX37">
        <v>44963017</v>
      </c>
      <c r="AY37">
        <v>1</v>
      </c>
      <c r="AZ37">
        <v>0</v>
      </c>
      <c r="BA37">
        <v>35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39.059625000000004</v>
      </c>
      <c r="CY37">
        <f>AB37</f>
        <v>1.03</v>
      </c>
      <c r="CZ37">
        <f>AF37</f>
        <v>1</v>
      </c>
      <c r="DA37">
        <f>AJ37</f>
        <v>1</v>
      </c>
      <c r="DB37">
        <f>ROUND((ROUND(AT37*CZ37,2)*1.25),6)</f>
        <v>4.6749999999999998</v>
      </c>
      <c r="DC37">
        <f>ROUND((ROUND(AT37*AG37,2)*1.25),6)</f>
        <v>0</v>
      </c>
    </row>
    <row r="38" spans="1:107" x14ac:dyDescent="0.2">
      <c r="A38">
        <f>ROW(Source!A35)</f>
        <v>35</v>
      </c>
      <c r="B38">
        <v>44962055</v>
      </c>
      <c r="C38">
        <v>44963015</v>
      </c>
      <c r="D38">
        <v>30572721</v>
      </c>
      <c r="E38">
        <v>1</v>
      </c>
      <c r="F38">
        <v>1</v>
      </c>
      <c r="G38">
        <v>30515945</v>
      </c>
      <c r="H38">
        <v>3</v>
      </c>
      <c r="I38" t="s">
        <v>84</v>
      </c>
      <c r="J38" t="s">
        <v>86</v>
      </c>
      <c r="K38" t="s">
        <v>85</v>
      </c>
      <c r="L38">
        <v>1327</v>
      </c>
      <c r="N38">
        <v>1005</v>
      </c>
      <c r="O38" t="s">
        <v>36</v>
      </c>
      <c r="P38" t="s">
        <v>36</v>
      </c>
      <c r="Q38">
        <v>1</v>
      </c>
      <c r="W38">
        <v>0</v>
      </c>
      <c r="X38">
        <v>-1665140176</v>
      </c>
      <c r="Y38">
        <v>112</v>
      </c>
      <c r="AA38">
        <v>65.52</v>
      </c>
      <c r="AB38">
        <v>0</v>
      </c>
      <c r="AC38">
        <v>0</v>
      </c>
      <c r="AD38">
        <v>0</v>
      </c>
      <c r="AE38">
        <v>16.38</v>
      </c>
      <c r="AF38">
        <v>0</v>
      </c>
      <c r="AG38">
        <v>0</v>
      </c>
      <c r="AH38">
        <v>0</v>
      </c>
      <c r="AI38">
        <v>4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3</v>
      </c>
      <c r="AT38">
        <v>112</v>
      </c>
      <c r="AU38" t="s">
        <v>3</v>
      </c>
      <c r="AV38">
        <v>0</v>
      </c>
      <c r="AW38">
        <v>1</v>
      </c>
      <c r="AX38">
        <v>-1</v>
      </c>
      <c r="AY38">
        <v>0</v>
      </c>
      <c r="AZ38">
        <v>0</v>
      </c>
      <c r="BA38" t="s">
        <v>3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935.76</v>
      </c>
      <c r="CY38">
        <f>AA38</f>
        <v>65.52</v>
      </c>
      <c r="CZ38">
        <f>AE38</f>
        <v>16.38</v>
      </c>
      <c r="DA38">
        <f>AI38</f>
        <v>4</v>
      </c>
      <c r="DB38">
        <f>ROUND(ROUND(AT38*CZ38,2),6)</f>
        <v>1834.56</v>
      </c>
      <c r="DC38">
        <f>ROUND(ROUND(AT38*AG38,2),6)</f>
        <v>0</v>
      </c>
    </row>
    <row r="39" spans="1:107" x14ac:dyDescent="0.2">
      <c r="A39">
        <f>ROW(Source!A35)</f>
        <v>35</v>
      </c>
      <c r="B39">
        <v>44962055</v>
      </c>
      <c r="C39">
        <v>44963015</v>
      </c>
      <c r="D39">
        <v>30571434</v>
      </c>
      <c r="E39">
        <v>1</v>
      </c>
      <c r="F39">
        <v>1</v>
      </c>
      <c r="G39">
        <v>30515945</v>
      </c>
      <c r="H39">
        <v>3</v>
      </c>
      <c r="I39" t="s">
        <v>450</v>
      </c>
      <c r="J39" t="s">
        <v>451</v>
      </c>
      <c r="K39" t="s">
        <v>452</v>
      </c>
      <c r="L39">
        <v>1348</v>
      </c>
      <c r="N39">
        <v>1009</v>
      </c>
      <c r="O39" t="s">
        <v>77</v>
      </c>
      <c r="P39" t="s">
        <v>77</v>
      </c>
      <c r="Q39">
        <v>1000</v>
      </c>
      <c r="W39">
        <v>0</v>
      </c>
      <c r="X39">
        <v>-140467712</v>
      </c>
      <c r="Y39">
        <v>0.02</v>
      </c>
      <c r="AA39">
        <v>144097.12</v>
      </c>
      <c r="AB39">
        <v>0</v>
      </c>
      <c r="AC39">
        <v>0</v>
      </c>
      <c r="AD39">
        <v>0</v>
      </c>
      <c r="AE39">
        <v>46784.78</v>
      </c>
      <c r="AF39">
        <v>0</v>
      </c>
      <c r="AG39">
        <v>0</v>
      </c>
      <c r="AH39">
        <v>0</v>
      </c>
      <c r="AI39">
        <v>3.08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0.02</v>
      </c>
      <c r="AU39" t="s">
        <v>3</v>
      </c>
      <c r="AV39">
        <v>0</v>
      </c>
      <c r="AW39">
        <v>2</v>
      </c>
      <c r="AX39">
        <v>44963018</v>
      </c>
      <c r="AY39">
        <v>1</v>
      </c>
      <c r="AZ39">
        <v>0</v>
      </c>
      <c r="BA39">
        <v>36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0.1671</v>
      </c>
      <c r="CY39">
        <f>AA39</f>
        <v>144097.12</v>
      </c>
      <c r="CZ39">
        <f>AE39</f>
        <v>46784.78</v>
      </c>
      <c r="DA39">
        <f>AI39</f>
        <v>3.08</v>
      </c>
      <c r="DB39">
        <f>ROUND(ROUND(AT39*CZ39,2),6)</f>
        <v>935.7</v>
      </c>
      <c r="DC39">
        <f>ROUND(ROUND(AT39*AG39,2),6)</f>
        <v>0</v>
      </c>
    </row>
    <row r="40" spans="1:107" x14ac:dyDescent="0.2">
      <c r="A40">
        <f>ROW(Source!A35)</f>
        <v>35</v>
      </c>
      <c r="B40">
        <v>44962055</v>
      </c>
      <c r="C40">
        <v>44963015</v>
      </c>
      <c r="D40">
        <v>30571484</v>
      </c>
      <c r="E40">
        <v>1</v>
      </c>
      <c r="F40">
        <v>1</v>
      </c>
      <c r="G40">
        <v>30515945</v>
      </c>
      <c r="H40">
        <v>3</v>
      </c>
      <c r="I40" t="s">
        <v>75</v>
      </c>
      <c r="J40" t="s">
        <v>78</v>
      </c>
      <c r="K40" t="s">
        <v>76</v>
      </c>
      <c r="L40">
        <v>1348</v>
      </c>
      <c r="N40">
        <v>1009</v>
      </c>
      <c r="O40" t="s">
        <v>77</v>
      </c>
      <c r="P40" t="s">
        <v>77</v>
      </c>
      <c r="Q40">
        <v>1000</v>
      </c>
      <c r="W40">
        <v>0</v>
      </c>
      <c r="X40">
        <v>-908598485</v>
      </c>
      <c r="Y40">
        <v>1.6E-2</v>
      </c>
      <c r="AA40">
        <v>42132.959999999999</v>
      </c>
      <c r="AB40">
        <v>0</v>
      </c>
      <c r="AC40">
        <v>0</v>
      </c>
      <c r="AD40">
        <v>0</v>
      </c>
      <c r="AE40">
        <v>22652.13</v>
      </c>
      <c r="AF40">
        <v>0</v>
      </c>
      <c r="AG40">
        <v>0</v>
      </c>
      <c r="AH40">
        <v>0</v>
      </c>
      <c r="AI40">
        <v>1.86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3</v>
      </c>
      <c r="AT40">
        <v>1.6E-2</v>
      </c>
      <c r="AU40" t="s">
        <v>3</v>
      </c>
      <c r="AV40">
        <v>0</v>
      </c>
      <c r="AW40">
        <v>1</v>
      </c>
      <c r="AX40">
        <v>-1</v>
      </c>
      <c r="AY40">
        <v>0</v>
      </c>
      <c r="AZ40">
        <v>0</v>
      </c>
      <c r="BA40" t="s">
        <v>3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0.13368000000000002</v>
      </c>
      <c r="CY40">
        <f>AA40</f>
        <v>42132.959999999999</v>
      </c>
      <c r="CZ40">
        <f>AE40</f>
        <v>22652.13</v>
      </c>
      <c r="DA40">
        <f>AI40</f>
        <v>1.86</v>
      </c>
      <c r="DB40">
        <f>ROUND(ROUND(AT40*CZ40,2),6)</f>
        <v>362.43</v>
      </c>
      <c r="DC40">
        <f>ROUND(ROUND(AT40*AG40,2),6)</f>
        <v>0</v>
      </c>
    </row>
    <row r="41" spans="1:107" x14ac:dyDescent="0.2">
      <c r="A41">
        <f>ROW(Source!A35)</f>
        <v>35</v>
      </c>
      <c r="B41">
        <v>44962055</v>
      </c>
      <c r="C41">
        <v>44963015</v>
      </c>
      <c r="D41">
        <v>30589730</v>
      </c>
      <c r="E41">
        <v>1</v>
      </c>
      <c r="F41">
        <v>1</v>
      </c>
      <c r="G41">
        <v>30515945</v>
      </c>
      <c r="H41">
        <v>3</v>
      </c>
      <c r="I41" t="s">
        <v>80</v>
      </c>
      <c r="J41" t="s">
        <v>82</v>
      </c>
      <c r="K41" t="s">
        <v>81</v>
      </c>
      <c r="L41">
        <v>1346</v>
      </c>
      <c r="N41">
        <v>1009</v>
      </c>
      <c r="O41" t="s">
        <v>55</v>
      </c>
      <c r="P41" t="s">
        <v>55</v>
      </c>
      <c r="Q41">
        <v>1</v>
      </c>
      <c r="W41">
        <v>0</v>
      </c>
      <c r="X41">
        <v>1867608313</v>
      </c>
      <c r="Y41">
        <v>120</v>
      </c>
      <c r="AA41">
        <v>21.53</v>
      </c>
      <c r="AB41">
        <v>0</v>
      </c>
      <c r="AC41">
        <v>0</v>
      </c>
      <c r="AD41">
        <v>0</v>
      </c>
      <c r="AE41">
        <v>13.89</v>
      </c>
      <c r="AF41">
        <v>0</v>
      </c>
      <c r="AG41">
        <v>0</v>
      </c>
      <c r="AH41">
        <v>0</v>
      </c>
      <c r="AI41">
        <v>1.55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 t="s">
        <v>3</v>
      </c>
      <c r="AT41">
        <v>120</v>
      </c>
      <c r="AU41" t="s">
        <v>3</v>
      </c>
      <c r="AV41">
        <v>0</v>
      </c>
      <c r="AW41">
        <v>1</v>
      </c>
      <c r="AX41">
        <v>-1</v>
      </c>
      <c r="AY41">
        <v>0</v>
      </c>
      <c r="AZ41">
        <v>0</v>
      </c>
      <c r="BA41" t="s">
        <v>3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1002.6</v>
      </c>
      <c r="CY41">
        <f>AA41</f>
        <v>21.53</v>
      </c>
      <c r="CZ41">
        <f>AE41</f>
        <v>13.89</v>
      </c>
      <c r="DA41">
        <f>AI41</f>
        <v>1.55</v>
      </c>
      <c r="DB41">
        <f>ROUND(ROUND(AT41*CZ41,2),6)</f>
        <v>1666.8</v>
      </c>
      <c r="DC41">
        <f>ROUND(ROUND(AT41*AG41,2),6)</f>
        <v>0</v>
      </c>
    </row>
    <row r="42" spans="1:107" x14ac:dyDescent="0.2">
      <c r="A42">
        <f>ROW(Source!A35)</f>
        <v>35</v>
      </c>
      <c r="B42">
        <v>44962055</v>
      </c>
      <c r="C42">
        <v>44963015</v>
      </c>
      <c r="D42">
        <v>30541208</v>
      </c>
      <c r="E42">
        <v>30515945</v>
      </c>
      <c r="F42">
        <v>1</v>
      </c>
      <c r="G42">
        <v>30515945</v>
      </c>
      <c r="H42">
        <v>3</v>
      </c>
      <c r="I42" t="s">
        <v>453</v>
      </c>
      <c r="J42" t="s">
        <v>3</v>
      </c>
      <c r="K42" t="s">
        <v>454</v>
      </c>
      <c r="L42">
        <v>1344</v>
      </c>
      <c r="N42">
        <v>1008</v>
      </c>
      <c r="O42" t="s">
        <v>440</v>
      </c>
      <c r="P42" t="s">
        <v>440</v>
      </c>
      <c r="Q42">
        <v>1</v>
      </c>
      <c r="W42">
        <v>0</v>
      </c>
      <c r="X42">
        <v>-94250534</v>
      </c>
      <c r="Y42">
        <v>17.45</v>
      </c>
      <c r="AA42">
        <v>1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17.45</v>
      </c>
      <c r="AU42" t="s">
        <v>3</v>
      </c>
      <c r="AV42">
        <v>0</v>
      </c>
      <c r="AW42">
        <v>2</v>
      </c>
      <c r="AX42">
        <v>44963022</v>
      </c>
      <c r="AY42">
        <v>1</v>
      </c>
      <c r="AZ42">
        <v>0</v>
      </c>
      <c r="BA42">
        <v>40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145.79474999999999</v>
      </c>
      <c r="CY42">
        <f>AA42</f>
        <v>1</v>
      </c>
      <c r="CZ42">
        <f>AE42</f>
        <v>1</v>
      </c>
      <c r="DA42">
        <f>AI42</f>
        <v>1</v>
      </c>
      <c r="DB42">
        <f>ROUND(ROUND(AT42*CZ42,2),6)</f>
        <v>17.45</v>
      </c>
      <c r="DC42">
        <f>ROUND(ROUND(AT42*AG42,2),6)</f>
        <v>0</v>
      </c>
    </row>
    <row r="43" spans="1:107" x14ac:dyDescent="0.2">
      <c r="A43">
        <f>ROW(Source!A39)</f>
        <v>39</v>
      </c>
      <c r="B43">
        <v>44962055</v>
      </c>
      <c r="C43">
        <v>44963026</v>
      </c>
      <c r="D43">
        <v>30515951</v>
      </c>
      <c r="E43">
        <v>30515945</v>
      </c>
      <c r="F43">
        <v>1</v>
      </c>
      <c r="G43">
        <v>30515945</v>
      </c>
      <c r="H43">
        <v>1</v>
      </c>
      <c r="I43" t="s">
        <v>388</v>
      </c>
      <c r="J43" t="s">
        <v>3</v>
      </c>
      <c r="K43" t="s">
        <v>389</v>
      </c>
      <c r="L43">
        <v>1191</v>
      </c>
      <c r="N43">
        <v>1013</v>
      </c>
      <c r="O43" t="s">
        <v>390</v>
      </c>
      <c r="P43" t="s">
        <v>390</v>
      </c>
      <c r="Q43">
        <v>1</v>
      </c>
      <c r="W43">
        <v>0</v>
      </c>
      <c r="X43">
        <v>476480486</v>
      </c>
      <c r="Y43">
        <v>6.3135000000000003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3</v>
      </c>
      <c r="AT43">
        <v>5.49</v>
      </c>
      <c r="AU43" t="s">
        <v>18</v>
      </c>
      <c r="AV43">
        <v>1</v>
      </c>
      <c r="AW43">
        <v>2</v>
      </c>
      <c r="AX43">
        <v>44963027</v>
      </c>
      <c r="AY43">
        <v>1</v>
      </c>
      <c r="AZ43">
        <v>0</v>
      </c>
      <c r="BA43">
        <v>41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Y43*Source!I39</f>
        <v>52.749292500000003</v>
      </c>
      <c r="CY43">
        <f>AD43</f>
        <v>0</v>
      </c>
      <c r="CZ43">
        <f>AH43</f>
        <v>0</v>
      </c>
      <c r="DA43">
        <f>AL43</f>
        <v>1</v>
      </c>
      <c r="DB43">
        <f>ROUND((ROUND(AT43*CZ43,2)*1.15),6)</f>
        <v>0</v>
      </c>
      <c r="DC43">
        <f>ROUND((ROUND(AT43*AG43,2)*1.15),6)</f>
        <v>0</v>
      </c>
    </row>
    <row r="44" spans="1:107" x14ac:dyDescent="0.2">
      <c r="A44">
        <f>ROW(Source!A39)</f>
        <v>39</v>
      </c>
      <c r="B44">
        <v>44962055</v>
      </c>
      <c r="C44">
        <v>44963026</v>
      </c>
      <c r="D44">
        <v>30571484</v>
      </c>
      <c r="E44">
        <v>1</v>
      </c>
      <c r="F44">
        <v>1</v>
      </c>
      <c r="G44">
        <v>30515945</v>
      </c>
      <c r="H44">
        <v>3</v>
      </c>
      <c r="I44" t="s">
        <v>75</v>
      </c>
      <c r="J44" t="s">
        <v>78</v>
      </c>
      <c r="K44" t="s">
        <v>76</v>
      </c>
      <c r="L44">
        <v>1348</v>
      </c>
      <c r="N44">
        <v>1009</v>
      </c>
      <c r="O44" t="s">
        <v>77</v>
      </c>
      <c r="P44" t="s">
        <v>77</v>
      </c>
      <c r="Q44">
        <v>1000</v>
      </c>
      <c r="W44">
        <v>0</v>
      </c>
      <c r="X44">
        <v>-908598485</v>
      </c>
      <c r="Y44">
        <v>1.4999999999999999E-2</v>
      </c>
      <c r="AA44">
        <v>42132.959999999999</v>
      </c>
      <c r="AB44">
        <v>0</v>
      </c>
      <c r="AC44">
        <v>0</v>
      </c>
      <c r="AD44">
        <v>0</v>
      </c>
      <c r="AE44">
        <v>22652.13</v>
      </c>
      <c r="AF44">
        <v>0</v>
      </c>
      <c r="AG44">
        <v>0</v>
      </c>
      <c r="AH44">
        <v>0</v>
      </c>
      <c r="AI44">
        <v>1.86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3</v>
      </c>
      <c r="AT44">
        <v>1.4999999999999999E-2</v>
      </c>
      <c r="AU44" t="s">
        <v>3</v>
      </c>
      <c r="AV44">
        <v>0</v>
      </c>
      <c r="AW44">
        <v>1</v>
      </c>
      <c r="AX44">
        <v>-1</v>
      </c>
      <c r="AY44">
        <v>0</v>
      </c>
      <c r="AZ44">
        <v>0</v>
      </c>
      <c r="BA44" t="s">
        <v>3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Y44*Source!I39</f>
        <v>0.12532499999999999</v>
      </c>
      <c r="CY44">
        <f>AA44</f>
        <v>42132.959999999999</v>
      </c>
      <c r="CZ44">
        <f>AE44</f>
        <v>22652.13</v>
      </c>
      <c r="DA44">
        <f>AI44</f>
        <v>1.86</v>
      </c>
      <c r="DB44">
        <f>ROUND(ROUND(AT44*CZ44,2),6)</f>
        <v>339.78</v>
      </c>
      <c r="DC44">
        <f>ROUND(ROUND(AT44*AG44,2),6)</f>
        <v>0</v>
      </c>
    </row>
    <row r="45" spans="1:107" x14ac:dyDescent="0.2">
      <c r="A45">
        <f>ROW(Source!A41)</f>
        <v>41</v>
      </c>
      <c r="B45">
        <v>44962055</v>
      </c>
      <c r="C45">
        <v>44962239</v>
      </c>
      <c r="D45">
        <v>30515951</v>
      </c>
      <c r="E45">
        <v>30515945</v>
      </c>
      <c r="F45">
        <v>1</v>
      </c>
      <c r="G45">
        <v>30515945</v>
      </c>
      <c r="H45">
        <v>1</v>
      </c>
      <c r="I45" t="s">
        <v>388</v>
      </c>
      <c r="J45" t="s">
        <v>3</v>
      </c>
      <c r="K45" t="s">
        <v>389</v>
      </c>
      <c r="L45">
        <v>1191</v>
      </c>
      <c r="N45">
        <v>1013</v>
      </c>
      <c r="O45" t="s">
        <v>390</v>
      </c>
      <c r="P45" t="s">
        <v>390</v>
      </c>
      <c r="Q45">
        <v>1</v>
      </c>
      <c r="W45">
        <v>0</v>
      </c>
      <c r="X45">
        <v>476480486</v>
      </c>
      <c r="Y45">
        <v>75.555000000000007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65.7</v>
      </c>
      <c r="AU45" t="s">
        <v>18</v>
      </c>
      <c r="AV45">
        <v>1</v>
      </c>
      <c r="AW45">
        <v>2</v>
      </c>
      <c r="AX45">
        <v>44962250</v>
      </c>
      <c r="AY45">
        <v>1</v>
      </c>
      <c r="AZ45">
        <v>0</v>
      </c>
      <c r="BA45">
        <v>43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Y45*Source!I41</f>
        <v>74.610562500000015</v>
      </c>
      <c r="CY45">
        <f>AD45</f>
        <v>0</v>
      </c>
      <c r="CZ45">
        <f>AH45</f>
        <v>0</v>
      </c>
      <c r="DA45">
        <f>AL45</f>
        <v>1</v>
      </c>
      <c r="DB45">
        <f>ROUND((ROUND(AT45*CZ45,2)*1.15),6)</f>
        <v>0</v>
      </c>
      <c r="DC45">
        <f>ROUND((ROUND(AT45*AG45,2)*1.15),6)</f>
        <v>0</v>
      </c>
    </row>
    <row r="46" spans="1:107" x14ac:dyDescent="0.2">
      <c r="A46">
        <f>ROW(Source!A41)</f>
        <v>41</v>
      </c>
      <c r="B46">
        <v>44962055</v>
      </c>
      <c r="C46">
        <v>44962239</v>
      </c>
      <c r="D46">
        <v>30595797</v>
      </c>
      <c r="E46">
        <v>1</v>
      </c>
      <c r="F46">
        <v>1</v>
      </c>
      <c r="G46">
        <v>30515945</v>
      </c>
      <c r="H46">
        <v>2</v>
      </c>
      <c r="I46" t="s">
        <v>455</v>
      </c>
      <c r="J46" t="s">
        <v>456</v>
      </c>
      <c r="K46" t="s">
        <v>457</v>
      </c>
      <c r="L46">
        <v>1367</v>
      </c>
      <c r="N46">
        <v>1011</v>
      </c>
      <c r="O46" t="s">
        <v>394</v>
      </c>
      <c r="P46" t="s">
        <v>394</v>
      </c>
      <c r="Q46">
        <v>1</v>
      </c>
      <c r="W46">
        <v>0</v>
      </c>
      <c r="X46">
        <v>-1260721122</v>
      </c>
      <c r="Y46">
        <v>3.4750000000000001</v>
      </c>
      <c r="AA46">
        <v>0</v>
      </c>
      <c r="AB46">
        <v>51.61</v>
      </c>
      <c r="AC46">
        <v>7.1</v>
      </c>
      <c r="AD46">
        <v>0</v>
      </c>
      <c r="AE46">
        <v>0</v>
      </c>
      <c r="AF46">
        <v>6.39</v>
      </c>
      <c r="AG46">
        <v>0.32</v>
      </c>
      <c r="AH46">
        <v>0</v>
      </c>
      <c r="AI46">
        <v>1</v>
      </c>
      <c r="AJ46">
        <v>7.43</v>
      </c>
      <c r="AK46">
        <v>20.399999999999999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2.78</v>
      </c>
      <c r="AU46" t="s">
        <v>17</v>
      </c>
      <c r="AV46">
        <v>0</v>
      </c>
      <c r="AW46">
        <v>2</v>
      </c>
      <c r="AX46">
        <v>44962251</v>
      </c>
      <c r="AY46">
        <v>1</v>
      </c>
      <c r="AZ46">
        <v>0</v>
      </c>
      <c r="BA46">
        <v>44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Y46*Source!I41</f>
        <v>3.4315625000000001</v>
      </c>
      <c r="CY46">
        <f>AB46</f>
        <v>51.61</v>
      </c>
      <c r="CZ46">
        <f>AF46</f>
        <v>6.39</v>
      </c>
      <c r="DA46">
        <f>AJ46</f>
        <v>7.43</v>
      </c>
      <c r="DB46">
        <f>ROUND((ROUND(AT46*CZ46,2)*1.25),6)</f>
        <v>22.2</v>
      </c>
      <c r="DC46">
        <f>ROUND((ROUND(AT46*AG46,2)*1.25),6)</f>
        <v>1.1125</v>
      </c>
    </row>
    <row r="47" spans="1:107" x14ac:dyDescent="0.2">
      <c r="A47">
        <f>ROW(Source!A41)</f>
        <v>41</v>
      </c>
      <c r="B47">
        <v>44962055</v>
      </c>
      <c r="C47">
        <v>44962239</v>
      </c>
      <c r="D47">
        <v>30596146</v>
      </c>
      <c r="E47">
        <v>1</v>
      </c>
      <c r="F47">
        <v>1</v>
      </c>
      <c r="G47">
        <v>30515945</v>
      </c>
      <c r="H47">
        <v>2</v>
      </c>
      <c r="I47" t="s">
        <v>458</v>
      </c>
      <c r="J47" t="s">
        <v>459</v>
      </c>
      <c r="K47" t="s">
        <v>460</v>
      </c>
      <c r="L47">
        <v>1367</v>
      </c>
      <c r="N47">
        <v>1011</v>
      </c>
      <c r="O47" t="s">
        <v>394</v>
      </c>
      <c r="P47" t="s">
        <v>394</v>
      </c>
      <c r="Q47">
        <v>1</v>
      </c>
      <c r="W47">
        <v>0</v>
      </c>
      <c r="X47">
        <v>-840546339</v>
      </c>
      <c r="Y47">
        <v>32.125</v>
      </c>
      <c r="AA47">
        <v>0</v>
      </c>
      <c r="AB47">
        <v>28.69</v>
      </c>
      <c r="AC47">
        <v>0.89</v>
      </c>
      <c r="AD47">
        <v>0</v>
      </c>
      <c r="AE47">
        <v>0</v>
      </c>
      <c r="AF47">
        <v>2.58</v>
      </c>
      <c r="AG47">
        <v>0.04</v>
      </c>
      <c r="AH47">
        <v>0</v>
      </c>
      <c r="AI47">
        <v>1</v>
      </c>
      <c r="AJ47">
        <v>10.23</v>
      </c>
      <c r="AK47">
        <v>20.399999999999999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3</v>
      </c>
      <c r="AT47">
        <v>25.7</v>
      </c>
      <c r="AU47" t="s">
        <v>17</v>
      </c>
      <c r="AV47">
        <v>0</v>
      </c>
      <c r="AW47">
        <v>2</v>
      </c>
      <c r="AX47">
        <v>44962252</v>
      </c>
      <c r="AY47">
        <v>1</v>
      </c>
      <c r="AZ47">
        <v>0</v>
      </c>
      <c r="BA47">
        <v>45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Y47*Source!I41</f>
        <v>31.723437500000003</v>
      </c>
      <c r="CY47">
        <f>AB47</f>
        <v>28.69</v>
      </c>
      <c r="CZ47">
        <f>AF47</f>
        <v>2.58</v>
      </c>
      <c r="DA47">
        <f>AJ47</f>
        <v>10.23</v>
      </c>
      <c r="DB47">
        <f>ROUND((ROUND(AT47*CZ47,2)*1.25),6)</f>
        <v>82.887500000000003</v>
      </c>
      <c r="DC47">
        <f>ROUND((ROUND(AT47*AG47,2)*1.25),6)</f>
        <v>1.2875000000000001</v>
      </c>
    </row>
    <row r="48" spans="1:107" x14ac:dyDescent="0.2">
      <c r="A48">
        <f>ROW(Source!A41)</f>
        <v>41</v>
      </c>
      <c r="B48">
        <v>44962055</v>
      </c>
      <c r="C48">
        <v>44962239</v>
      </c>
      <c r="D48">
        <v>30595428</v>
      </c>
      <c r="E48">
        <v>1</v>
      </c>
      <c r="F48">
        <v>1</v>
      </c>
      <c r="G48">
        <v>30515945</v>
      </c>
      <c r="H48">
        <v>2</v>
      </c>
      <c r="I48" t="s">
        <v>461</v>
      </c>
      <c r="J48" t="s">
        <v>462</v>
      </c>
      <c r="K48" t="s">
        <v>463</v>
      </c>
      <c r="L48">
        <v>1367</v>
      </c>
      <c r="N48">
        <v>1011</v>
      </c>
      <c r="O48" t="s">
        <v>394</v>
      </c>
      <c r="P48" t="s">
        <v>394</v>
      </c>
      <c r="Q48">
        <v>1</v>
      </c>
      <c r="W48">
        <v>0</v>
      </c>
      <c r="X48">
        <v>-1812649094</v>
      </c>
      <c r="Y48">
        <v>5.7750000000000004</v>
      </c>
      <c r="AA48">
        <v>0</v>
      </c>
      <c r="AB48">
        <v>17.7</v>
      </c>
      <c r="AC48">
        <v>14.86</v>
      </c>
      <c r="AD48">
        <v>0</v>
      </c>
      <c r="AE48">
        <v>0</v>
      </c>
      <c r="AF48">
        <v>1.28</v>
      </c>
      <c r="AG48">
        <v>0.67</v>
      </c>
      <c r="AH48">
        <v>0</v>
      </c>
      <c r="AI48">
        <v>1</v>
      </c>
      <c r="AJ48">
        <v>12.72</v>
      </c>
      <c r="AK48">
        <v>20.399999999999999</v>
      </c>
      <c r="AL48">
        <v>1</v>
      </c>
      <c r="AN48">
        <v>0</v>
      </c>
      <c r="AO48">
        <v>1</v>
      </c>
      <c r="AP48">
        <v>1</v>
      </c>
      <c r="AQ48">
        <v>0</v>
      </c>
      <c r="AR48">
        <v>0</v>
      </c>
      <c r="AS48" t="s">
        <v>3</v>
      </c>
      <c r="AT48">
        <v>4.62</v>
      </c>
      <c r="AU48" t="s">
        <v>17</v>
      </c>
      <c r="AV48">
        <v>0</v>
      </c>
      <c r="AW48">
        <v>2</v>
      </c>
      <c r="AX48">
        <v>44962253</v>
      </c>
      <c r="AY48">
        <v>1</v>
      </c>
      <c r="AZ48">
        <v>0</v>
      </c>
      <c r="BA48">
        <v>46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Y48*Source!I41</f>
        <v>5.7028125000000003</v>
      </c>
      <c r="CY48">
        <f>AB48</f>
        <v>17.7</v>
      </c>
      <c r="CZ48">
        <f>AF48</f>
        <v>1.28</v>
      </c>
      <c r="DA48">
        <f>AJ48</f>
        <v>12.72</v>
      </c>
      <c r="DB48">
        <f>ROUND((ROUND(AT48*CZ48,2)*1.25),6)</f>
        <v>7.3875000000000002</v>
      </c>
      <c r="DC48">
        <f>ROUND((ROUND(AT48*AG48,2)*1.25),6)</f>
        <v>3.875</v>
      </c>
    </row>
    <row r="49" spans="1:107" x14ac:dyDescent="0.2">
      <c r="A49">
        <f>ROW(Source!A41)</f>
        <v>41</v>
      </c>
      <c r="B49">
        <v>44962055</v>
      </c>
      <c r="C49">
        <v>44962239</v>
      </c>
      <c r="D49">
        <v>30595440</v>
      </c>
      <c r="E49">
        <v>1</v>
      </c>
      <c r="F49">
        <v>1</v>
      </c>
      <c r="G49">
        <v>30515945</v>
      </c>
      <c r="H49">
        <v>2</v>
      </c>
      <c r="I49" t="s">
        <v>464</v>
      </c>
      <c r="J49" t="s">
        <v>465</v>
      </c>
      <c r="K49" t="s">
        <v>466</v>
      </c>
      <c r="L49">
        <v>1367</v>
      </c>
      <c r="N49">
        <v>1011</v>
      </c>
      <c r="O49" t="s">
        <v>394</v>
      </c>
      <c r="P49" t="s">
        <v>394</v>
      </c>
      <c r="Q49">
        <v>1</v>
      </c>
      <c r="W49">
        <v>0</v>
      </c>
      <c r="X49">
        <v>-1295289413</v>
      </c>
      <c r="Y49">
        <v>1.625</v>
      </c>
      <c r="AA49">
        <v>0</v>
      </c>
      <c r="AB49">
        <v>4.74</v>
      </c>
      <c r="AC49">
        <v>2</v>
      </c>
      <c r="AD49">
        <v>0</v>
      </c>
      <c r="AE49">
        <v>0</v>
      </c>
      <c r="AF49">
        <v>0.8</v>
      </c>
      <c r="AG49">
        <v>0.09</v>
      </c>
      <c r="AH49">
        <v>0</v>
      </c>
      <c r="AI49">
        <v>1</v>
      </c>
      <c r="AJ49">
        <v>5.45</v>
      </c>
      <c r="AK49">
        <v>20.399999999999999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3</v>
      </c>
      <c r="AT49">
        <v>1.3</v>
      </c>
      <c r="AU49" t="s">
        <v>17</v>
      </c>
      <c r="AV49">
        <v>0</v>
      </c>
      <c r="AW49">
        <v>2</v>
      </c>
      <c r="AX49">
        <v>44962254</v>
      </c>
      <c r="AY49">
        <v>1</v>
      </c>
      <c r="AZ49">
        <v>0</v>
      </c>
      <c r="BA49">
        <v>47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Y49*Source!I41</f>
        <v>1.6046875</v>
      </c>
      <c r="CY49">
        <f>AB49</f>
        <v>4.74</v>
      </c>
      <c r="CZ49">
        <f>AF49</f>
        <v>0.8</v>
      </c>
      <c r="DA49">
        <f>AJ49</f>
        <v>5.45</v>
      </c>
      <c r="DB49">
        <f>ROUND((ROUND(AT49*CZ49,2)*1.25),6)</f>
        <v>1.3</v>
      </c>
      <c r="DC49">
        <f>ROUND((ROUND(AT49*AG49,2)*1.25),6)</f>
        <v>0.15</v>
      </c>
    </row>
    <row r="50" spans="1:107" x14ac:dyDescent="0.2">
      <c r="A50">
        <f>ROW(Source!A41)</f>
        <v>41</v>
      </c>
      <c r="B50">
        <v>44962055</v>
      </c>
      <c r="C50">
        <v>44962239</v>
      </c>
      <c r="D50">
        <v>30516999</v>
      </c>
      <c r="E50">
        <v>30515945</v>
      </c>
      <c r="F50">
        <v>1</v>
      </c>
      <c r="G50">
        <v>30515945</v>
      </c>
      <c r="H50">
        <v>2</v>
      </c>
      <c r="I50" t="s">
        <v>438</v>
      </c>
      <c r="J50" t="s">
        <v>3</v>
      </c>
      <c r="K50" t="s">
        <v>439</v>
      </c>
      <c r="L50">
        <v>1344</v>
      </c>
      <c r="N50">
        <v>1008</v>
      </c>
      <c r="O50" t="s">
        <v>440</v>
      </c>
      <c r="P50" t="s">
        <v>440</v>
      </c>
      <c r="Q50">
        <v>1</v>
      </c>
      <c r="W50">
        <v>0</v>
      </c>
      <c r="X50">
        <v>-1180195794</v>
      </c>
      <c r="Y50">
        <v>50.7</v>
      </c>
      <c r="AA50">
        <v>0</v>
      </c>
      <c r="AB50">
        <v>1.0900000000000001</v>
      </c>
      <c r="AC50">
        <v>0</v>
      </c>
      <c r="AD50">
        <v>0</v>
      </c>
      <c r="AE50">
        <v>0</v>
      </c>
      <c r="AF50">
        <v>1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40.56</v>
      </c>
      <c r="AU50" t="s">
        <v>17</v>
      </c>
      <c r="AV50">
        <v>0</v>
      </c>
      <c r="AW50">
        <v>2</v>
      </c>
      <c r="AX50">
        <v>44962255</v>
      </c>
      <c r="AY50">
        <v>1</v>
      </c>
      <c r="AZ50">
        <v>0</v>
      </c>
      <c r="BA50">
        <v>48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Y50*Source!I41</f>
        <v>50.066250000000004</v>
      </c>
      <c r="CY50">
        <f>AB50</f>
        <v>1.0900000000000001</v>
      </c>
      <c r="CZ50">
        <f>AF50</f>
        <v>1</v>
      </c>
      <c r="DA50">
        <f>AJ50</f>
        <v>1</v>
      </c>
      <c r="DB50">
        <f>ROUND((ROUND(AT50*CZ50,2)*1.25),6)</f>
        <v>50.7</v>
      </c>
      <c r="DC50">
        <f>ROUND((ROUND(AT50*AG50,2)*1.25),6)</f>
        <v>0</v>
      </c>
    </row>
    <row r="51" spans="1:107" x14ac:dyDescent="0.2">
      <c r="A51">
        <f>ROW(Source!A41)</f>
        <v>41</v>
      </c>
      <c r="B51">
        <v>44962055</v>
      </c>
      <c r="C51">
        <v>44962239</v>
      </c>
      <c r="D51">
        <v>30572493</v>
      </c>
      <c r="E51">
        <v>1</v>
      </c>
      <c r="F51">
        <v>1</v>
      </c>
      <c r="G51">
        <v>30515945</v>
      </c>
      <c r="H51">
        <v>3</v>
      </c>
      <c r="I51" t="s">
        <v>467</v>
      </c>
      <c r="J51" t="s">
        <v>468</v>
      </c>
      <c r="K51" t="s">
        <v>469</v>
      </c>
      <c r="L51">
        <v>1348</v>
      </c>
      <c r="N51">
        <v>1009</v>
      </c>
      <c r="O51" t="s">
        <v>77</v>
      </c>
      <c r="P51" t="s">
        <v>77</v>
      </c>
      <c r="Q51">
        <v>1000</v>
      </c>
      <c r="W51">
        <v>0</v>
      </c>
      <c r="X51">
        <v>1310716689</v>
      </c>
      <c r="Y51">
        <v>0.03</v>
      </c>
      <c r="AA51">
        <v>86373.64</v>
      </c>
      <c r="AB51">
        <v>0</v>
      </c>
      <c r="AC51">
        <v>0</v>
      </c>
      <c r="AD51">
        <v>0</v>
      </c>
      <c r="AE51">
        <v>7191.81</v>
      </c>
      <c r="AF51">
        <v>0</v>
      </c>
      <c r="AG51">
        <v>0</v>
      </c>
      <c r="AH51">
        <v>0</v>
      </c>
      <c r="AI51">
        <v>12.01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0.03</v>
      </c>
      <c r="AU51" t="s">
        <v>3</v>
      </c>
      <c r="AV51">
        <v>0</v>
      </c>
      <c r="AW51">
        <v>2</v>
      </c>
      <c r="AX51">
        <v>44962256</v>
      </c>
      <c r="AY51">
        <v>1</v>
      </c>
      <c r="AZ51">
        <v>0</v>
      </c>
      <c r="BA51">
        <v>49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Y51*Source!I41</f>
        <v>2.9624999999999999E-2</v>
      </c>
      <c r="CY51">
        <f>AA51</f>
        <v>86373.64</v>
      </c>
      <c r="CZ51">
        <f>AE51</f>
        <v>7191.81</v>
      </c>
      <c r="DA51">
        <f>AI51</f>
        <v>12.01</v>
      </c>
      <c r="DB51">
        <f>ROUND(ROUND(AT51*CZ51,2),6)</f>
        <v>215.75</v>
      </c>
      <c r="DC51">
        <f>ROUND(ROUND(AT51*AG51,2),6)</f>
        <v>0</v>
      </c>
    </row>
    <row r="52" spans="1:107" x14ac:dyDescent="0.2">
      <c r="A52">
        <f>ROW(Source!A41)</f>
        <v>41</v>
      </c>
      <c r="B52">
        <v>44962055</v>
      </c>
      <c r="C52">
        <v>44962239</v>
      </c>
      <c r="D52">
        <v>30592678</v>
      </c>
      <c r="E52">
        <v>1</v>
      </c>
      <c r="F52">
        <v>1</v>
      </c>
      <c r="G52">
        <v>30515945</v>
      </c>
      <c r="H52">
        <v>3</v>
      </c>
      <c r="I52" t="s">
        <v>470</v>
      </c>
      <c r="J52" t="s">
        <v>471</v>
      </c>
      <c r="K52" t="s">
        <v>472</v>
      </c>
      <c r="L52">
        <v>1348</v>
      </c>
      <c r="N52">
        <v>1009</v>
      </c>
      <c r="O52" t="s">
        <v>77</v>
      </c>
      <c r="P52" t="s">
        <v>77</v>
      </c>
      <c r="Q52">
        <v>1000</v>
      </c>
      <c r="W52">
        <v>0</v>
      </c>
      <c r="X52">
        <v>-2026157207</v>
      </c>
      <c r="Y52">
        <v>1.4E-2</v>
      </c>
      <c r="AA52">
        <v>65674.62</v>
      </c>
      <c r="AB52">
        <v>0</v>
      </c>
      <c r="AC52">
        <v>0</v>
      </c>
      <c r="AD52">
        <v>0</v>
      </c>
      <c r="AE52">
        <v>12654.07</v>
      </c>
      <c r="AF52">
        <v>0</v>
      </c>
      <c r="AG52">
        <v>0</v>
      </c>
      <c r="AH52">
        <v>0</v>
      </c>
      <c r="AI52">
        <v>5.19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1.4E-2</v>
      </c>
      <c r="AU52" t="s">
        <v>3</v>
      </c>
      <c r="AV52">
        <v>0</v>
      </c>
      <c r="AW52">
        <v>2</v>
      </c>
      <c r="AX52">
        <v>44962257</v>
      </c>
      <c r="AY52">
        <v>1</v>
      </c>
      <c r="AZ52">
        <v>0</v>
      </c>
      <c r="BA52">
        <v>50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Y52*Source!I41</f>
        <v>1.3825E-2</v>
      </c>
      <c r="CY52">
        <f>AA52</f>
        <v>65674.62</v>
      </c>
      <c r="CZ52">
        <f>AE52</f>
        <v>12654.07</v>
      </c>
      <c r="DA52">
        <f>AI52</f>
        <v>5.19</v>
      </c>
      <c r="DB52">
        <f>ROUND(ROUND(AT52*CZ52,2),6)</f>
        <v>177.16</v>
      </c>
      <c r="DC52">
        <f>ROUND(ROUND(AT52*AG52,2),6)</f>
        <v>0</v>
      </c>
    </row>
    <row r="53" spans="1:107" x14ac:dyDescent="0.2">
      <c r="A53">
        <f>ROW(Source!A41)</f>
        <v>41</v>
      </c>
      <c r="B53">
        <v>44962055</v>
      </c>
      <c r="C53">
        <v>44962239</v>
      </c>
      <c r="D53">
        <v>30592698</v>
      </c>
      <c r="E53">
        <v>1</v>
      </c>
      <c r="F53">
        <v>1</v>
      </c>
      <c r="G53">
        <v>30515945</v>
      </c>
      <c r="H53">
        <v>3</v>
      </c>
      <c r="I53" t="s">
        <v>101</v>
      </c>
      <c r="J53" t="s">
        <v>103</v>
      </c>
      <c r="K53" t="s">
        <v>102</v>
      </c>
      <c r="L53">
        <v>1348</v>
      </c>
      <c r="N53">
        <v>1009</v>
      </c>
      <c r="O53" t="s">
        <v>77</v>
      </c>
      <c r="P53" t="s">
        <v>77</v>
      </c>
      <c r="Q53">
        <v>1000</v>
      </c>
      <c r="W53">
        <v>0</v>
      </c>
      <c r="X53">
        <v>1679822580</v>
      </c>
      <c r="Y53">
        <v>1</v>
      </c>
      <c r="AA53">
        <v>63717.72</v>
      </c>
      <c r="AB53">
        <v>0</v>
      </c>
      <c r="AC53">
        <v>0</v>
      </c>
      <c r="AD53">
        <v>0</v>
      </c>
      <c r="AE53">
        <v>19485.54</v>
      </c>
      <c r="AF53">
        <v>0</v>
      </c>
      <c r="AG53">
        <v>0</v>
      </c>
      <c r="AH53">
        <v>0</v>
      </c>
      <c r="AI53">
        <v>3.27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3</v>
      </c>
      <c r="AT53">
        <v>1</v>
      </c>
      <c r="AU53" t="s">
        <v>3</v>
      </c>
      <c r="AV53">
        <v>0</v>
      </c>
      <c r="AW53">
        <v>1</v>
      </c>
      <c r="AX53">
        <v>-1</v>
      </c>
      <c r="AY53">
        <v>0</v>
      </c>
      <c r="AZ53">
        <v>0</v>
      </c>
      <c r="BA53" t="s">
        <v>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Y53*Source!I41</f>
        <v>0.98750000000000004</v>
      </c>
      <c r="CY53">
        <f>AA53</f>
        <v>63717.72</v>
      </c>
      <c r="CZ53">
        <f>AE53</f>
        <v>19485.54</v>
      </c>
      <c r="DA53">
        <f>AI53</f>
        <v>3.27</v>
      </c>
      <c r="DB53">
        <f>ROUND(ROUND(AT53*CZ53,2),6)</f>
        <v>19485.54</v>
      </c>
      <c r="DC53">
        <f>ROUND(ROUND(AT53*AG53,2),6)</f>
        <v>0</v>
      </c>
    </row>
    <row r="54" spans="1:107" x14ac:dyDescent="0.2">
      <c r="A54">
        <f>ROW(Source!A41)</f>
        <v>41</v>
      </c>
      <c r="B54">
        <v>44962055</v>
      </c>
      <c r="C54">
        <v>44962239</v>
      </c>
      <c r="D54">
        <v>30541208</v>
      </c>
      <c r="E54">
        <v>30515945</v>
      </c>
      <c r="F54">
        <v>1</v>
      </c>
      <c r="G54">
        <v>30515945</v>
      </c>
      <c r="H54">
        <v>3</v>
      </c>
      <c r="I54" t="s">
        <v>453</v>
      </c>
      <c r="J54" t="s">
        <v>3</v>
      </c>
      <c r="K54" t="s">
        <v>454</v>
      </c>
      <c r="L54">
        <v>1344</v>
      </c>
      <c r="N54">
        <v>1008</v>
      </c>
      <c r="O54" t="s">
        <v>440</v>
      </c>
      <c r="P54" t="s">
        <v>440</v>
      </c>
      <c r="Q54">
        <v>1</v>
      </c>
      <c r="W54">
        <v>0</v>
      </c>
      <c r="X54">
        <v>-94250534</v>
      </c>
      <c r="Y54">
        <v>39.479999999999997</v>
      </c>
      <c r="AA54">
        <v>1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39.479999999999997</v>
      </c>
      <c r="AU54" t="s">
        <v>3</v>
      </c>
      <c r="AV54">
        <v>0</v>
      </c>
      <c r="AW54">
        <v>2</v>
      </c>
      <c r="AX54">
        <v>44962259</v>
      </c>
      <c r="AY54">
        <v>1</v>
      </c>
      <c r="AZ54">
        <v>0</v>
      </c>
      <c r="BA54">
        <v>52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Y54*Source!I41</f>
        <v>38.986499999999999</v>
      </c>
      <c r="CY54">
        <f>AA54</f>
        <v>1</v>
      </c>
      <c r="CZ54">
        <f>AE54</f>
        <v>1</v>
      </c>
      <c r="DA54">
        <f>AI54</f>
        <v>1</v>
      </c>
      <c r="DB54">
        <f>ROUND(ROUND(AT54*CZ54,2),6)</f>
        <v>39.479999999999997</v>
      </c>
      <c r="DC54">
        <f>ROUND(ROUND(AT54*AG54,2),6)</f>
        <v>0</v>
      </c>
    </row>
    <row r="55" spans="1:107" x14ac:dyDescent="0.2">
      <c r="A55">
        <f>ROW(Source!A43)</f>
        <v>43</v>
      </c>
      <c r="B55">
        <v>44962055</v>
      </c>
      <c r="C55">
        <v>44962261</v>
      </c>
      <c r="D55">
        <v>30515951</v>
      </c>
      <c r="E55">
        <v>30515945</v>
      </c>
      <c r="F55">
        <v>1</v>
      </c>
      <c r="G55">
        <v>30515945</v>
      </c>
      <c r="H55">
        <v>1</v>
      </c>
      <c r="I55" t="s">
        <v>388</v>
      </c>
      <c r="J55" t="s">
        <v>3</v>
      </c>
      <c r="K55" t="s">
        <v>389</v>
      </c>
      <c r="L55">
        <v>1191</v>
      </c>
      <c r="N55">
        <v>1013</v>
      </c>
      <c r="O55" t="s">
        <v>390</v>
      </c>
      <c r="P55" t="s">
        <v>390</v>
      </c>
      <c r="Q55">
        <v>1</v>
      </c>
      <c r="W55">
        <v>0</v>
      </c>
      <c r="X55">
        <v>476480486</v>
      </c>
      <c r="Y55">
        <v>202.4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176</v>
      </c>
      <c r="AU55" t="s">
        <v>18</v>
      </c>
      <c r="AV55">
        <v>1</v>
      </c>
      <c r="AW55">
        <v>2</v>
      </c>
      <c r="AX55">
        <v>44962268</v>
      </c>
      <c r="AY55">
        <v>1</v>
      </c>
      <c r="AZ55">
        <v>0</v>
      </c>
      <c r="BA55">
        <v>53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Y55*Source!I43</f>
        <v>799.48</v>
      </c>
      <c r="CY55">
        <f>AD55</f>
        <v>0</v>
      </c>
      <c r="CZ55">
        <f>AH55</f>
        <v>0</v>
      </c>
      <c r="DA55">
        <f>AL55</f>
        <v>1</v>
      </c>
      <c r="DB55">
        <f>ROUND((ROUND(AT55*CZ55,2)*1.15),6)</f>
        <v>0</v>
      </c>
      <c r="DC55">
        <f>ROUND((ROUND(AT55*AG55,2)*1.15),6)</f>
        <v>0</v>
      </c>
    </row>
    <row r="56" spans="1:107" x14ac:dyDescent="0.2">
      <c r="A56">
        <f>ROW(Source!A43)</f>
        <v>43</v>
      </c>
      <c r="B56">
        <v>44962055</v>
      </c>
      <c r="C56">
        <v>44962261</v>
      </c>
      <c r="D56">
        <v>30516999</v>
      </c>
      <c r="E56">
        <v>30515945</v>
      </c>
      <c r="F56">
        <v>1</v>
      </c>
      <c r="G56">
        <v>30515945</v>
      </c>
      <c r="H56">
        <v>2</v>
      </c>
      <c r="I56" t="s">
        <v>438</v>
      </c>
      <c r="J56" t="s">
        <v>3</v>
      </c>
      <c r="K56" t="s">
        <v>439</v>
      </c>
      <c r="L56">
        <v>1344</v>
      </c>
      <c r="N56">
        <v>1008</v>
      </c>
      <c r="O56" t="s">
        <v>440</v>
      </c>
      <c r="P56" t="s">
        <v>440</v>
      </c>
      <c r="Q56">
        <v>1</v>
      </c>
      <c r="W56">
        <v>0</v>
      </c>
      <c r="X56">
        <v>-1180195794</v>
      </c>
      <c r="Y56">
        <v>24.574999999999999</v>
      </c>
      <c r="AA56">
        <v>0</v>
      </c>
      <c r="AB56">
        <v>1.03</v>
      </c>
      <c r="AC56">
        <v>0</v>
      </c>
      <c r="AD56">
        <v>0</v>
      </c>
      <c r="AE56">
        <v>0</v>
      </c>
      <c r="AF56">
        <v>1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3</v>
      </c>
      <c r="AT56">
        <v>19.66</v>
      </c>
      <c r="AU56" t="s">
        <v>17</v>
      </c>
      <c r="AV56">
        <v>0</v>
      </c>
      <c r="AW56">
        <v>2</v>
      </c>
      <c r="AX56">
        <v>44962269</v>
      </c>
      <c r="AY56">
        <v>1</v>
      </c>
      <c r="AZ56">
        <v>0</v>
      </c>
      <c r="BA56">
        <v>54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Y56*Source!I43</f>
        <v>97.071250000000006</v>
      </c>
      <c r="CY56">
        <f>AB56</f>
        <v>1.03</v>
      </c>
      <c r="CZ56">
        <f>AF56</f>
        <v>1</v>
      </c>
      <c r="DA56">
        <f>AJ56</f>
        <v>1</v>
      </c>
      <c r="DB56">
        <f>ROUND((ROUND(AT56*CZ56,2)*1.25),6)</f>
        <v>24.574999999999999</v>
      </c>
      <c r="DC56">
        <f>ROUND((ROUND(AT56*AG56,2)*1.25),6)</f>
        <v>0</v>
      </c>
    </row>
    <row r="57" spans="1:107" x14ac:dyDescent="0.2">
      <c r="A57">
        <f>ROW(Source!A43)</f>
        <v>43</v>
      </c>
      <c r="B57">
        <v>44962055</v>
      </c>
      <c r="C57">
        <v>44962261</v>
      </c>
      <c r="D57">
        <v>30571127</v>
      </c>
      <c r="E57">
        <v>1</v>
      </c>
      <c r="F57">
        <v>1</v>
      </c>
      <c r="G57">
        <v>30515945</v>
      </c>
      <c r="H57">
        <v>3</v>
      </c>
      <c r="I57" t="s">
        <v>473</v>
      </c>
      <c r="J57" t="s">
        <v>474</v>
      </c>
      <c r="K57" t="s">
        <v>475</v>
      </c>
      <c r="L57">
        <v>1348</v>
      </c>
      <c r="N57">
        <v>1009</v>
      </c>
      <c r="O57" t="s">
        <v>77</v>
      </c>
      <c r="P57" t="s">
        <v>77</v>
      </c>
      <c r="Q57">
        <v>1000</v>
      </c>
      <c r="W57">
        <v>0</v>
      </c>
      <c r="X57">
        <v>-1798553121</v>
      </c>
      <c r="Y57">
        <v>2.8500000000000001E-3</v>
      </c>
      <c r="AA57">
        <v>83663.94</v>
      </c>
      <c r="AB57">
        <v>0</v>
      </c>
      <c r="AC57">
        <v>0</v>
      </c>
      <c r="AD57">
        <v>0</v>
      </c>
      <c r="AE57">
        <v>17876.91</v>
      </c>
      <c r="AF57">
        <v>0</v>
      </c>
      <c r="AG57">
        <v>0</v>
      </c>
      <c r="AH57">
        <v>0</v>
      </c>
      <c r="AI57">
        <v>4.68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2.8500000000000001E-3</v>
      </c>
      <c r="AU57" t="s">
        <v>3</v>
      </c>
      <c r="AV57">
        <v>0</v>
      </c>
      <c r="AW57">
        <v>2</v>
      </c>
      <c r="AX57">
        <v>44962270</v>
      </c>
      <c r="AY57">
        <v>1</v>
      </c>
      <c r="AZ57">
        <v>0</v>
      </c>
      <c r="BA57">
        <v>55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Y57*Source!I43</f>
        <v>1.12575E-2</v>
      </c>
      <c r="CY57">
        <f>AA57</f>
        <v>83663.94</v>
      </c>
      <c r="CZ57">
        <f>AE57</f>
        <v>17876.91</v>
      </c>
      <c r="DA57">
        <f>AI57</f>
        <v>4.68</v>
      </c>
      <c r="DB57">
        <f>ROUND(ROUND(AT57*CZ57,2),6)</f>
        <v>50.95</v>
      </c>
      <c r="DC57">
        <f>ROUND(ROUND(AT57*AG57,2),6)</f>
        <v>0</v>
      </c>
    </row>
    <row r="58" spans="1:107" x14ac:dyDescent="0.2">
      <c r="A58">
        <f>ROW(Source!A43)</f>
        <v>43</v>
      </c>
      <c r="B58">
        <v>44962055</v>
      </c>
      <c r="C58">
        <v>44962261</v>
      </c>
      <c r="D58">
        <v>30571832</v>
      </c>
      <c r="E58">
        <v>1</v>
      </c>
      <c r="F58">
        <v>1</v>
      </c>
      <c r="G58">
        <v>30515945</v>
      </c>
      <c r="H58">
        <v>3</v>
      </c>
      <c r="I58" t="s">
        <v>116</v>
      </c>
      <c r="J58" t="s">
        <v>118</v>
      </c>
      <c r="K58" t="s">
        <v>117</v>
      </c>
      <c r="L58">
        <v>1327</v>
      </c>
      <c r="N58">
        <v>1005</v>
      </c>
      <c r="O58" t="s">
        <v>36</v>
      </c>
      <c r="P58" t="s">
        <v>36</v>
      </c>
      <c r="Q58">
        <v>1</v>
      </c>
      <c r="W58">
        <v>0</v>
      </c>
      <c r="X58">
        <v>-1446192496</v>
      </c>
      <c r="Y58">
        <v>0</v>
      </c>
      <c r="AA58">
        <v>187.27</v>
      </c>
      <c r="AB58">
        <v>0</v>
      </c>
      <c r="AC58">
        <v>0</v>
      </c>
      <c r="AD58">
        <v>0</v>
      </c>
      <c r="AE58">
        <v>40.36</v>
      </c>
      <c r="AF58">
        <v>0</v>
      </c>
      <c r="AG58">
        <v>0</v>
      </c>
      <c r="AH58">
        <v>0</v>
      </c>
      <c r="AI58">
        <v>4.6399999999999997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S58" t="s">
        <v>3</v>
      </c>
      <c r="AT58">
        <v>0</v>
      </c>
      <c r="AU58" t="s">
        <v>3</v>
      </c>
      <c r="AV58">
        <v>0</v>
      </c>
      <c r="AW58">
        <v>1</v>
      </c>
      <c r="AX58">
        <v>-1</v>
      </c>
      <c r="AY58">
        <v>0</v>
      </c>
      <c r="AZ58">
        <v>0</v>
      </c>
      <c r="BA58" t="s">
        <v>3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Y58*Source!I43</f>
        <v>0</v>
      </c>
      <c r="CY58">
        <f>AA58</f>
        <v>187.27</v>
      </c>
      <c r="CZ58">
        <f>AE58</f>
        <v>40.36</v>
      </c>
      <c r="DA58">
        <f>AI58</f>
        <v>4.6399999999999997</v>
      </c>
      <c r="DB58">
        <f>ROUND(ROUND(AT58*CZ58,2),6)</f>
        <v>0</v>
      </c>
      <c r="DC58">
        <f>ROUND(ROUND(AT58*AG58,2),6)</f>
        <v>0</v>
      </c>
    </row>
    <row r="59" spans="1:107" x14ac:dyDescent="0.2">
      <c r="A59">
        <f>ROW(Source!A43)</f>
        <v>43</v>
      </c>
      <c r="B59">
        <v>44962055</v>
      </c>
      <c r="C59">
        <v>44962261</v>
      </c>
      <c r="D59">
        <v>30571833</v>
      </c>
      <c r="E59">
        <v>1</v>
      </c>
      <c r="F59">
        <v>1</v>
      </c>
      <c r="G59">
        <v>30515945</v>
      </c>
      <c r="H59">
        <v>3</v>
      </c>
      <c r="I59" t="s">
        <v>111</v>
      </c>
      <c r="J59" t="s">
        <v>114</v>
      </c>
      <c r="K59" t="s">
        <v>112</v>
      </c>
      <c r="L59">
        <v>1391</v>
      </c>
      <c r="N59">
        <v>1013</v>
      </c>
      <c r="O59" t="s">
        <v>113</v>
      </c>
      <c r="P59" t="s">
        <v>113</v>
      </c>
      <c r="Q59">
        <v>1</v>
      </c>
      <c r="W59">
        <v>0</v>
      </c>
      <c r="X59">
        <v>18285352</v>
      </c>
      <c r="Y59">
        <v>100</v>
      </c>
      <c r="AA59">
        <v>63.63</v>
      </c>
      <c r="AB59">
        <v>0</v>
      </c>
      <c r="AC59">
        <v>0</v>
      </c>
      <c r="AD59">
        <v>0</v>
      </c>
      <c r="AE59">
        <v>21.28</v>
      </c>
      <c r="AF59">
        <v>0</v>
      </c>
      <c r="AG59">
        <v>0</v>
      </c>
      <c r="AH59">
        <v>0</v>
      </c>
      <c r="AI59">
        <v>2.99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 t="s">
        <v>3</v>
      </c>
      <c r="AT59">
        <v>100</v>
      </c>
      <c r="AU59" t="s">
        <v>3</v>
      </c>
      <c r="AV59">
        <v>0</v>
      </c>
      <c r="AW59">
        <v>1</v>
      </c>
      <c r="AX59">
        <v>-1</v>
      </c>
      <c r="AY59">
        <v>0</v>
      </c>
      <c r="AZ59">
        <v>0</v>
      </c>
      <c r="BA59" t="s">
        <v>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Y59*Source!I43</f>
        <v>395</v>
      </c>
      <c r="CY59">
        <f>AA59</f>
        <v>63.63</v>
      </c>
      <c r="CZ59">
        <f>AE59</f>
        <v>21.28</v>
      </c>
      <c r="DA59">
        <f>AI59</f>
        <v>2.99</v>
      </c>
      <c r="DB59">
        <f>ROUND(ROUND(AT59*CZ59,2),6)</f>
        <v>2128</v>
      </c>
      <c r="DC59">
        <f>ROUND(ROUND(AT59*AG59,2),6)</f>
        <v>0</v>
      </c>
    </row>
    <row r="60" spans="1:107" x14ac:dyDescent="0.2">
      <c r="A60">
        <f>ROW(Source!A43)</f>
        <v>43</v>
      </c>
      <c r="B60">
        <v>44962055</v>
      </c>
      <c r="C60">
        <v>44962261</v>
      </c>
      <c r="D60">
        <v>30541208</v>
      </c>
      <c r="E60">
        <v>30515945</v>
      </c>
      <c r="F60">
        <v>1</v>
      </c>
      <c r="G60">
        <v>30515945</v>
      </c>
      <c r="H60">
        <v>3</v>
      </c>
      <c r="I60" t="s">
        <v>453</v>
      </c>
      <c r="J60" t="s">
        <v>3</v>
      </c>
      <c r="K60" t="s">
        <v>454</v>
      </c>
      <c r="L60">
        <v>1344</v>
      </c>
      <c r="N60">
        <v>1008</v>
      </c>
      <c r="O60" t="s">
        <v>440</v>
      </c>
      <c r="P60" t="s">
        <v>440</v>
      </c>
      <c r="Q60">
        <v>1</v>
      </c>
      <c r="W60">
        <v>0</v>
      </c>
      <c r="X60">
        <v>-94250534</v>
      </c>
      <c r="Y60">
        <v>0.87</v>
      </c>
      <c r="AA60">
        <v>1</v>
      </c>
      <c r="AB60">
        <v>0</v>
      </c>
      <c r="AC60">
        <v>0</v>
      </c>
      <c r="AD60">
        <v>0</v>
      </c>
      <c r="AE60">
        <v>1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0.87</v>
      </c>
      <c r="AU60" t="s">
        <v>3</v>
      </c>
      <c r="AV60">
        <v>0</v>
      </c>
      <c r="AW60">
        <v>2</v>
      </c>
      <c r="AX60">
        <v>44962273</v>
      </c>
      <c r="AY60">
        <v>1</v>
      </c>
      <c r="AZ60">
        <v>0</v>
      </c>
      <c r="BA60">
        <v>58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Y60*Source!I43</f>
        <v>3.4365000000000001</v>
      </c>
      <c r="CY60">
        <f>AA60</f>
        <v>1</v>
      </c>
      <c r="CZ60">
        <f>AE60</f>
        <v>1</v>
      </c>
      <c r="DA60">
        <f>AI60</f>
        <v>1</v>
      </c>
      <c r="DB60">
        <f>ROUND(ROUND(AT60*CZ60,2),6)</f>
        <v>0.87</v>
      </c>
      <c r="DC60">
        <f>ROUND(ROUND(AT60*AG60,2),6)</f>
        <v>0</v>
      </c>
    </row>
    <row r="61" spans="1:107" x14ac:dyDescent="0.2">
      <c r="A61">
        <f>ROW(Source!A46)</f>
        <v>46</v>
      </c>
      <c r="B61">
        <v>44962055</v>
      </c>
      <c r="C61">
        <v>44967710</v>
      </c>
      <c r="D61">
        <v>42303864</v>
      </c>
      <c r="E61">
        <v>1</v>
      </c>
      <c r="F61">
        <v>1</v>
      </c>
      <c r="G61">
        <v>30515945</v>
      </c>
      <c r="H61">
        <v>3</v>
      </c>
      <c r="I61" t="s">
        <v>127</v>
      </c>
      <c r="J61" t="s">
        <v>129</v>
      </c>
      <c r="K61" t="s">
        <v>128</v>
      </c>
      <c r="L61">
        <v>1348</v>
      </c>
      <c r="N61">
        <v>1009</v>
      </c>
      <c r="O61" t="s">
        <v>77</v>
      </c>
      <c r="P61" t="s">
        <v>77</v>
      </c>
      <c r="Q61">
        <v>1000</v>
      </c>
      <c r="W61">
        <v>0</v>
      </c>
      <c r="X61">
        <v>246426046</v>
      </c>
      <c r="Y61">
        <v>1.05</v>
      </c>
      <c r="AA61">
        <v>7200</v>
      </c>
      <c r="AB61">
        <v>0</v>
      </c>
      <c r="AC61">
        <v>0</v>
      </c>
      <c r="AD61">
        <v>0</v>
      </c>
      <c r="AE61">
        <v>7200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3</v>
      </c>
      <c r="AT61">
        <v>1.05</v>
      </c>
      <c r="AU61" t="s">
        <v>3</v>
      </c>
      <c r="AV61">
        <v>0</v>
      </c>
      <c r="AW61">
        <v>1</v>
      </c>
      <c r="AX61">
        <v>-1</v>
      </c>
      <c r="AY61">
        <v>0</v>
      </c>
      <c r="AZ61">
        <v>0</v>
      </c>
      <c r="BA61" t="s">
        <v>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Y61*Source!I46</f>
        <v>1.8912599999999999</v>
      </c>
      <c r="CY61">
        <f>AA61</f>
        <v>7200</v>
      </c>
      <c r="CZ61">
        <f>AE61</f>
        <v>7200</v>
      </c>
      <c r="DA61">
        <f>AI61</f>
        <v>1</v>
      </c>
      <c r="DB61">
        <f>ROUND(ROUND(AT61*CZ61,2),6)</f>
        <v>7560</v>
      </c>
      <c r="DC61">
        <f>ROUND(ROUND(AT61*AG61,2),6)</f>
        <v>0</v>
      </c>
    </row>
    <row r="62" spans="1:107" x14ac:dyDescent="0.2">
      <c r="A62">
        <f>ROW(Source!A48)</f>
        <v>48</v>
      </c>
      <c r="B62">
        <v>44962055</v>
      </c>
      <c r="C62">
        <v>44962391</v>
      </c>
      <c r="D62">
        <v>30515951</v>
      </c>
      <c r="E62">
        <v>30515945</v>
      </c>
      <c r="F62">
        <v>1</v>
      </c>
      <c r="G62">
        <v>30515945</v>
      </c>
      <c r="H62">
        <v>1</v>
      </c>
      <c r="I62" t="s">
        <v>388</v>
      </c>
      <c r="J62" t="s">
        <v>3</v>
      </c>
      <c r="K62" t="s">
        <v>389</v>
      </c>
      <c r="L62">
        <v>1191</v>
      </c>
      <c r="N62">
        <v>1013</v>
      </c>
      <c r="O62" t="s">
        <v>390</v>
      </c>
      <c r="P62" t="s">
        <v>390</v>
      </c>
      <c r="Q62">
        <v>1</v>
      </c>
      <c r="W62">
        <v>0</v>
      </c>
      <c r="X62">
        <v>476480486</v>
      </c>
      <c r="Y62">
        <v>26.829499999999999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S62" t="s">
        <v>3</v>
      </c>
      <c r="AT62">
        <v>23.33</v>
      </c>
      <c r="AU62" t="s">
        <v>18</v>
      </c>
      <c r="AV62">
        <v>1</v>
      </c>
      <c r="AW62">
        <v>2</v>
      </c>
      <c r="AX62">
        <v>44962396</v>
      </c>
      <c r="AY62">
        <v>1</v>
      </c>
      <c r="AZ62">
        <v>0</v>
      </c>
      <c r="BA62">
        <v>59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Y62*Source!I48</f>
        <v>105.97652500000001</v>
      </c>
      <c r="CY62">
        <f>AD62</f>
        <v>0</v>
      </c>
      <c r="CZ62">
        <f>AH62</f>
        <v>0</v>
      </c>
      <c r="DA62">
        <f>AL62</f>
        <v>1</v>
      </c>
      <c r="DB62">
        <f>ROUND((ROUND(AT62*CZ62,2)*1.15),6)</f>
        <v>0</v>
      </c>
      <c r="DC62">
        <f>ROUND((ROUND(AT62*AG62,2)*1.15),6)</f>
        <v>0</v>
      </c>
    </row>
    <row r="63" spans="1:107" x14ac:dyDescent="0.2">
      <c r="A63">
        <f>ROW(Source!A48)</f>
        <v>48</v>
      </c>
      <c r="B63">
        <v>44962055</v>
      </c>
      <c r="C63">
        <v>44962391</v>
      </c>
      <c r="D63">
        <v>30595604</v>
      </c>
      <c r="E63">
        <v>1</v>
      </c>
      <c r="F63">
        <v>1</v>
      </c>
      <c r="G63">
        <v>30515945</v>
      </c>
      <c r="H63">
        <v>2</v>
      </c>
      <c r="I63" t="s">
        <v>476</v>
      </c>
      <c r="J63" t="s">
        <v>477</v>
      </c>
      <c r="K63" t="s">
        <v>478</v>
      </c>
      <c r="L63">
        <v>1367</v>
      </c>
      <c r="N63">
        <v>1011</v>
      </c>
      <c r="O63" t="s">
        <v>394</v>
      </c>
      <c r="P63" t="s">
        <v>394</v>
      </c>
      <c r="Q63">
        <v>1</v>
      </c>
      <c r="W63">
        <v>0</v>
      </c>
      <c r="X63">
        <v>1029667330</v>
      </c>
      <c r="Y63">
        <v>9.7750000000000004</v>
      </c>
      <c r="AA63">
        <v>0</v>
      </c>
      <c r="AB63">
        <v>2.31</v>
      </c>
      <c r="AC63">
        <v>0.85</v>
      </c>
      <c r="AD63">
        <v>0</v>
      </c>
      <c r="AE63">
        <v>0</v>
      </c>
      <c r="AF63">
        <v>1.61</v>
      </c>
      <c r="AG63">
        <v>0.04</v>
      </c>
      <c r="AH63">
        <v>0</v>
      </c>
      <c r="AI63">
        <v>1</v>
      </c>
      <c r="AJ63">
        <v>1.37</v>
      </c>
      <c r="AK63">
        <v>20.399999999999999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S63" t="s">
        <v>3</v>
      </c>
      <c r="AT63">
        <v>7.82</v>
      </c>
      <c r="AU63" t="s">
        <v>17</v>
      </c>
      <c r="AV63">
        <v>0</v>
      </c>
      <c r="AW63">
        <v>2</v>
      </c>
      <c r="AX63">
        <v>44962397</v>
      </c>
      <c r="AY63">
        <v>1</v>
      </c>
      <c r="AZ63">
        <v>0</v>
      </c>
      <c r="BA63">
        <v>60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Y63*Source!I48</f>
        <v>38.611250000000005</v>
      </c>
      <c r="CY63">
        <f>AB63</f>
        <v>2.31</v>
      </c>
      <c r="CZ63">
        <f>AF63</f>
        <v>1.61</v>
      </c>
      <c r="DA63">
        <f>AJ63</f>
        <v>1.37</v>
      </c>
      <c r="DB63">
        <f>ROUND((ROUND(AT63*CZ63,2)*1.25),6)</f>
        <v>15.737500000000001</v>
      </c>
      <c r="DC63">
        <f>ROUND((ROUND(AT63*AG63,2)*1.25),6)</f>
        <v>0.38750000000000001</v>
      </c>
    </row>
    <row r="64" spans="1:107" x14ac:dyDescent="0.2">
      <c r="A64">
        <f>ROW(Source!A48)</f>
        <v>48</v>
      </c>
      <c r="B64">
        <v>44962055</v>
      </c>
      <c r="C64">
        <v>44962391</v>
      </c>
      <c r="D64">
        <v>30571181</v>
      </c>
      <c r="E64">
        <v>1</v>
      </c>
      <c r="F64">
        <v>1</v>
      </c>
      <c r="G64">
        <v>30515945</v>
      </c>
      <c r="H64">
        <v>3</v>
      </c>
      <c r="I64" t="s">
        <v>441</v>
      </c>
      <c r="J64" t="s">
        <v>442</v>
      </c>
      <c r="K64" t="s">
        <v>443</v>
      </c>
      <c r="L64">
        <v>1339</v>
      </c>
      <c r="N64">
        <v>1007</v>
      </c>
      <c r="O64" t="s">
        <v>140</v>
      </c>
      <c r="P64" t="s">
        <v>140</v>
      </c>
      <c r="Q64">
        <v>1</v>
      </c>
      <c r="W64">
        <v>0</v>
      </c>
      <c r="X64">
        <v>-862991314</v>
      </c>
      <c r="Y64">
        <v>3.5</v>
      </c>
      <c r="AA64">
        <v>29.98</v>
      </c>
      <c r="AB64">
        <v>0</v>
      </c>
      <c r="AC64">
        <v>0</v>
      </c>
      <c r="AD64">
        <v>0</v>
      </c>
      <c r="AE64">
        <v>7.07</v>
      </c>
      <c r="AF64">
        <v>0</v>
      </c>
      <c r="AG64">
        <v>0</v>
      </c>
      <c r="AH64">
        <v>0</v>
      </c>
      <c r="AI64">
        <v>4.24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3.5</v>
      </c>
      <c r="AU64" t="s">
        <v>3</v>
      </c>
      <c r="AV64">
        <v>0</v>
      </c>
      <c r="AW64">
        <v>2</v>
      </c>
      <c r="AX64">
        <v>44962398</v>
      </c>
      <c r="AY64">
        <v>1</v>
      </c>
      <c r="AZ64">
        <v>0</v>
      </c>
      <c r="BA64">
        <v>61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Y64*Source!I48</f>
        <v>13.825000000000001</v>
      </c>
      <c r="CY64">
        <f>AA64</f>
        <v>29.98</v>
      </c>
      <c r="CZ64">
        <f>AE64</f>
        <v>7.07</v>
      </c>
      <c r="DA64">
        <f>AI64</f>
        <v>4.24</v>
      </c>
      <c r="DB64">
        <f>ROUND(ROUND(AT64*CZ64,2),6)</f>
        <v>24.75</v>
      </c>
      <c r="DC64">
        <f>ROUND(ROUND(AT64*AG64,2),6)</f>
        <v>0</v>
      </c>
    </row>
    <row r="65" spans="1:107" x14ac:dyDescent="0.2">
      <c r="A65">
        <f>ROW(Source!A48)</f>
        <v>48</v>
      </c>
      <c r="B65">
        <v>44962055</v>
      </c>
      <c r="C65">
        <v>44962391</v>
      </c>
      <c r="D65">
        <v>30589691</v>
      </c>
      <c r="E65">
        <v>1</v>
      </c>
      <c r="F65">
        <v>1</v>
      </c>
      <c r="G65">
        <v>30515945</v>
      </c>
      <c r="H65">
        <v>3</v>
      </c>
      <c r="I65" t="s">
        <v>138</v>
      </c>
      <c r="J65" t="s">
        <v>141</v>
      </c>
      <c r="K65" t="s">
        <v>139</v>
      </c>
      <c r="L65">
        <v>1339</v>
      </c>
      <c r="N65">
        <v>1007</v>
      </c>
      <c r="O65" t="s">
        <v>140</v>
      </c>
      <c r="P65" t="s">
        <v>140</v>
      </c>
      <c r="Q65">
        <v>1</v>
      </c>
      <c r="W65">
        <v>0</v>
      </c>
      <c r="X65">
        <v>-718781615</v>
      </c>
      <c r="Y65">
        <v>2.04</v>
      </c>
      <c r="AA65">
        <v>3085.8</v>
      </c>
      <c r="AB65">
        <v>0</v>
      </c>
      <c r="AC65">
        <v>0</v>
      </c>
      <c r="AD65">
        <v>0</v>
      </c>
      <c r="AE65">
        <v>451.14</v>
      </c>
      <c r="AF65">
        <v>0</v>
      </c>
      <c r="AG65">
        <v>0</v>
      </c>
      <c r="AH65">
        <v>0</v>
      </c>
      <c r="AI65">
        <v>6.84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 t="s">
        <v>3</v>
      </c>
      <c r="AT65">
        <v>2.04</v>
      </c>
      <c r="AU65" t="s">
        <v>3</v>
      </c>
      <c r="AV65">
        <v>0</v>
      </c>
      <c r="AW65">
        <v>1</v>
      </c>
      <c r="AX65">
        <v>-1</v>
      </c>
      <c r="AY65">
        <v>0</v>
      </c>
      <c r="AZ65">
        <v>0</v>
      </c>
      <c r="BA65" t="s">
        <v>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Y65*Source!I48</f>
        <v>8.0579999999999998</v>
      </c>
      <c r="CY65">
        <f>AA65</f>
        <v>3085.8</v>
      </c>
      <c r="CZ65">
        <f>AE65</f>
        <v>451.14</v>
      </c>
      <c r="DA65">
        <f>AI65</f>
        <v>6.84</v>
      </c>
      <c r="DB65">
        <f>ROUND(ROUND(AT65*CZ65,2),6)</f>
        <v>920.33</v>
      </c>
      <c r="DC65">
        <f>ROUND(ROUND(AT65*AG65,2),6)</f>
        <v>0</v>
      </c>
    </row>
    <row r="66" spans="1:107" x14ac:dyDescent="0.2">
      <c r="A66">
        <f>ROW(Source!A50)</f>
        <v>50</v>
      </c>
      <c r="B66">
        <v>44962055</v>
      </c>
      <c r="C66">
        <v>44962401</v>
      </c>
      <c r="D66">
        <v>30515951</v>
      </c>
      <c r="E66">
        <v>30515945</v>
      </c>
      <c r="F66">
        <v>1</v>
      </c>
      <c r="G66">
        <v>30515945</v>
      </c>
      <c r="H66">
        <v>1</v>
      </c>
      <c r="I66" t="s">
        <v>388</v>
      </c>
      <c r="J66" t="s">
        <v>3</v>
      </c>
      <c r="K66" t="s">
        <v>389</v>
      </c>
      <c r="L66">
        <v>1191</v>
      </c>
      <c r="N66">
        <v>1013</v>
      </c>
      <c r="O66" t="s">
        <v>390</v>
      </c>
      <c r="P66" t="s">
        <v>390</v>
      </c>
      <c r="Q66">
        <v>1</v>
      </c>
      <c r="W66">
        <v>0</v>
      </c>
      <c r="X66">
        <v>476480486</v>
      </c>
      <c r="Y66">
        <v>3.036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3</v>
      </c>
      <c r="AT66">
        <v>0.44</v>
      </c>
      <c r="AU66" t="s">
        <v>148</v>
      </c>
      <c r="AV66">
        <v>1</v>
      </c>
      <c r="AW66">
        <v>2</v>
      </c>
      <c r="AX66">
        <v>44962405</v>
      </c>
      <c r="AY66">
        <v>1</v>
      </c>
      <c r="AZ66">
        <v>0</v>
      </c>
      <c r="BA66">
        <v>63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Y66*Source!I50</f>
        <v>11.9922</v>
      </c>
      <c r="CY66">
        <f>AD66</f>
        <v>0</v>
      </c>
      <c r="CZ66">
        <f>AH66</f>
        <v>0</v>
      </c>
      <c r="DA66">
        <f>AL66</f>
        <v>1</v>
      </c>
      <c r="DB66">
        <f>ROUND(((ROUND(AT66*CZ66,2)*1.15)*6),6)</f>
        <v>0</v>
      </c>
      <c r="DC66">
        <f>ROUND(((ROUND(AT66*AG66,2)*1.15)*6),6)</f>
        <v>0</v>
      </c>
    </row>
    <row r="67" spans="1:107" x14ac:dyDescent="0.2">
      <c r="A67">
        <f>ROW(Source!A50)</f>
        <v>50</v>
      </c>
      <c r="B67">
        <v>44962055</v>
      </c>
      <c r="C67">
        <v>44962401</v>
      </c>
      <c r="D67">
        <v>30595604</v>
      </c>
      <c r="E67">
        <v>1</v>
      </c>
      <c r="F67">
        <v>1</v>
      </c>
      <c r="G67">
        <v>30515945</v>
      </c>
      <c r="H67">
        <v>2</v>
      </c>
      <c r="I67" t="s">
        <v>476</v>
      </c>
      <c r="J67" t="s">
        <v>477</v>
      </c>
      <c r="K67" t="s">
        <v>478</v>
      </c>
      <c r="L67">
        <v>1367</v>
      </c>
      <c r="N67">
        <v>1011</v>
      </c>
      <c r="O67" t="s">
        <v>394</v>
      </c>
      <c r="P67" t="s">
        <v>394</v>
      </c>
      <c r="Q67">
        <v>1</v>
      </c>
      <c r="W67">
        <v>0</v>
      </c>
      <c r="X67">
        <v>1029667330</v>
      </c>
      <c r="Y67">
        <v>15</v>
      </c>
      <c r="AA67">
        <v>0</v>
      </c>
      <c r="AB67">
        <v>2.31</v>
      </c>
      <c r="AC67">
        <v>0.85</v>
      </c>
      <c r="AD67">
        <v>0</v>
      </c>
      <c r="AE67">
        <v>0</v>
      </c>
      <c r="AF67">
        <v>1.61</v>
      </c>
      <c r="AG67">
        <v>0.04</v>
      </c>
      <c r="AH67">
        <v>0</v>
      </c>
      <c r="AI67">
        <v>1</v>
      </c>
      <c r="AJ67">
        <v>1.37</v>
      </c>
      <c r="AK67">
        <v>20.399999999999999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S67" t="s">
        <v>3</v>
      </c>
      <c r="AT67">
        <v>2</v>
      </c>
      <c r="AU67" t="s">
        <v>147</v>
      </c>
      <c r="AV67">
        <v>0</v>
      </c>
      <c r="AW67">
        <v>2</v>
      </c>
      <c r="AX67">
        <v>44962406</v>
      </c>
      <c r="AY67">
        <v>1</v>
      </c>
      <c r="AZ67">
        <v>0</v>
      </c>
      <c r="BA67">
        <v>64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Y67*Source!I50</f>
        <v>59.25</v>
      </c>
      <c r="CY67">
        <f>AB67</f>
        <v>2.31</v>
      </c>
      <c r="CZ67">
        <f>AF67</f>
        <v>1.61</v>
      </c>
      <c r="DA67">
        <f>AJ67</f>
        <v>1.37</v>
      </c>
      <c r="DB67">
        <f>ROUND(((ROUND(AT67*CZ67,2)*1.25)*6),6)</f>
        <v>24.15</v>
      </c>
      <c r="DC67">
        <f>ROUND(((ROUND(AT67*AG67,2)*1.25)*6),6)</f>
        <v>0.6</v>
      </c>
    </row>
    <row r="68" spans="1:107" x14ac:dyDescent="0.2">
      <c r="A68">
        <f>ROW(Source!A50)</f>
        <v>50</v>
      </c>
      <c r="B68">
        <v>44962055</v>
      </c>
      <c r="C68">
        <v>44962401</v>
      </c>
      <c r="D68">
        <v>30589691</v>
      </c>
      <c r="E68">
        <v>1</v>
      </c>
      <c r="F68">
        <v>1</v>
      </c>
      <c r="G68">
        <v>30515945</v>
      </c>
      <c r="H68">
        <v>3</v>
      </c>
      <c r="I68" t="s">
        <v>138</v>
      </c>
      <c r="J68" t="s">
        <v>141</v>
      </c>
      <c r="K68" t="s">
        <v>139</v>
      </c>
      <c r="L68">
        <v>1339</v>
      </c>
      <c r="N68">
        <v>1007</v>
      </c>
      <c r="O68" t="s">
        <v>140</v>
      </c>
      <c r="P68" t="s">
        <v>140</v>
      </c>
      <c r="Q68">
        <v>1</v>
      </c>
      <c r="W68">
        <v>0</v>
      </c>
      <c r="X68">
        <v>-718781615</v>
      </c>
      <c r="Y68">
        <v>3.06</v>
      </c>
      <c r="AA68">
        <v>3085.8</v>
      </c>
      <c r="AB68">
        <v>0</v>
      </c>
      <c r="AC68">
        <v>0</v>
      </c>
      <c r="AD68">
        <v>0</v>
      </c>
      <c r="AE68">
        <v>451.14</v>
      </c>
      <c r="AF68">
        <v>0</v>
      </c>
      <c r="AG68">
        <v>0</v>
      </c>
      <c r="AH68">
        <v>0</v>
      </c>
      <c r="AI68">
        <v>6.84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1</v>
      </c>
      <c r="AQ68">
        <v>0</v>
      </c>
      <c r="AR68">
        <v>0</v>
      </c>
      <c r="AS68" t="s">
        <v>3</v>
      </c>
      <c r="AT68">
        <v>0.51</v>
      </c>
      <c r="AU68" t="s">
        <v>146</v>
      </c>
      <c r="AV68">
        <v>0</v>
      </c>
      <c r="AW68">
        <v>1</v>
      </c>
      <c r="AX68">
        <v>-1</v>
      </c>
      <c r="AY68">
        <v>0</v>
      </c>
      <c r="AZ68">
        <v>0</v>
      </c>
      <c r="BA68" t="s">
        <v>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Y68*Source!I50</f>
        <v>12.087000000000002</v>
      </c>
      <c r="CY68">
        <f>AA68</f>
        <v>3085.8</v>
      </c>
      <c r="CZ68">
        <f>AE68</f>
        <v>451.14</v>
      </c>
      <c r="DA68">
        <f>AI68</f>
        <v>6.84</v>
      </c>
      <c r="DB68">
        <f>ROUND((ROUND(AT68*CZ68,2)*6),6)</f>
        <v>1380.48</v>
      </c>
      <c r="DC68">
        <f>ROUND((ROUND(AT68*AG68,2)*6),6)</f>
        <v>0</v>
      </c>
    </row>
    <row r="69" spans="1:107" x14ac:dyDescent="0.2">
      <c r="A69">
        <f>ROW(Source!A52)</f>
        <v>52</v>
      </c>
      <c r="B69">
        <v>44962055</v>
      </c>
      <c r="C69">
        <v>44962409</v>
      </c>
      <c r="D69">
        <v>30515951</v>
      </c>
      <c r="E69">
        <v>30515945</v>
      </c>
      <c r="F69">
        <v>1</v>
      </c>
      <c r="G69">
        <v>30515945</v>
      </c>
      <c r="H69">
        <v>1</v>
      </c>
      <c r="I69" t="s">
        <v>388</v>
      </c>
      <c r="J69" t="s">
        <v>3</v>
      </c>
      <c r="K69" t="s">
        <v>389</v>
      </c>
      <c r="L69">
        <v>1191</v>
      </c>
      <c r="N69">
        <v>1013</v>
      </c>
      <c r="O69" t="s">
        <v>390</v>
      </c>
      <c r="P69" t="s">
        <v>390</v>
      </c>
      <c r="Q69">
        <v>1</v>
      </c>
      <c r="W69">
        <v>0</v>
      </c>
      <c r="X69">
        <v>476480486</v>
      </c>
      <c r="Y69">
        <v>37.972999999999999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S69" t="s">
        <v>3</v>
      </c>
      <c r="AT69">
        <v>33.020000000000003</v>
      </c>
      <c r="AU69" t="s">
        <v>18</v>
      </c>
      <c r="AV69">
        <v>1</v>
      </c>
      <c r="AW69">
        <v>2</v>
      </c>
      <c r="AX69">
        <v>44962419</v>
      </c>
      <c r="AY69">
        <v>1</v>
      </c>
      <c r="AZ69">
        <v>0</v>
      </c>
      <c r="BA69">
        <v>66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Y69*Source!I52</f>
        <v>149.99334999999999</v>
      </c>
      <c r="CY69">
        <f>AD69</f>
        <v>0</v>
      </c>
      <c r="CZ69">
        <f>AH69</f>
        <v>0</v>
      </c>
      <c r="DA69">
        <f>AL69</f>
        <v>1</v>
      </c>
      <c r="DB69">
        <f>ROUND((ROUND(AT69*CZ69,2)*1.15),6)</f>
        <v>0</v>
      </c>
      <c r="DC69">
        <f>ROUND((ROUND(AT69*AG69,2)*1.15),6)</f>
        <v>0</v>
      </c>
    </row>
    <row r="70" spans="1:107" x14ac:dyDescent="0.2">
      <c r="A70">
        <f>ROW(Source!A52)</f>
        <v>52</v>
      </c>
      <c r="B70">
        <v>44962055</v>
      </c>
      <c r="C70">
        <v>44962409</v>
      </c>
      <c r="D70">
        <v>30595822</v>
      </c>
      <c r="E70">
        <v>1</v>
      </c>
      <c r="F70">
        <v>1</v>
      </c>
      <c r="G70">
        <v>30515945</v>
      </c>
      <c r="H70">
        <v>2</v>
      </c>
      <c r="I70" t="s">
        <v>479</v>
      </c>
      <c r="J70" t="s">
        <v>480</v>
      </c>
      <c r="K70" t="s">
        <v>481</v>
      </c>
      <c r="L70">
        <v>1367</v>
      </c>
      <c r="N70">
        <v>1011</v>
      </c>
      <c r="O70" t="s">
        <v>394</v>
      </c>
      <c r="P70" t="s">
        <v>394</v>
      </c>
      <c r="Q70">
        <v>1</v>
      </c>
      <c r="W70">
        <v>0</v>
      </c>
      <c r="X70">
        <v>-1547019182</v>
      </c>
      <c r="Y70">
        <v>3</v>
      </c>
      <c r="AA70">
        <v>0</v>
      </c>
      <c r="AB70">
        <v>46.91</v>
      </c>
      <c r="AC70">
        <v>17.3</v>
      </c>
      <c r="AD70">
        <v>0</v>
      </c>
      <c r="AE70">
        <v>0</v>
      </c>
      <c r="AF70">
        <v>8.65</v>
      </c>
      <c r="AG70">
        <v>0.81</v>
      </c>
      <c r="AH70">
        <v>0</v>
      </c>
      <c r="AI70">
        <v>1</v>
      </c>
      <c r="AJ70">
        <v>5.18</v>
      </c>
      <c r="AK70">
        <v>20.399999999999999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S70" t="s">
        <v>3</v>
      </c>
      <c r="AT70">
        <v>2.4</v>
      </c>
      <c r="AU70" t="s">
        <v>17</v>
      </c>
      <c r="AV70">
        <v>0</v>
      </c>
      <c r="AW70">
        <v>2</v>
      </c>
      <c r="AX70">
        <v>44962420</v>
      </c>
      <c r="AY70">
        <v>1</v>
      </c>
      <c r="AZ70">
        <v>0</v>
      </c>
      <c r="BA70">
        <v>67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Y70*Source!I52</f>
        <v>11.850000000000001</v>
      </c>
      <c r="CY70">
        <f>AB70</f>
        <v>46.91</v>
      </c>
      <c r="CZ70">
        <f>AF70</f>
        <v>8.65</v>
      </c>
      <c r="DA70">
        <f>AJ70</f>
        <v>5.18</v>
      </c>
      <c r="DB70">
        <f>ROUND((ROUND(AT70*CZ70,2)*1.25),6)</f>
        <v>25.95</v>
      </c>
      <c r="DC70">
        <f>ROUND((ROUND(AT70*AG70,2)*1.25),6)</f>
        <v>2.4249999999999998</v>
      </c>
    </row>
    <row r="71" spans="1:107" x14ac:dyDescent="0.2">
      <c r="A71">
        <f>ROW(Source!A52)</f>
        <v>52</v>
      </c>
      <c r="B71">
        <v>44962055</v>
      </c>
      <c r="C71">
        <v>44962409</v>
      </c>
      <c r="D71">
        <v>30596074</v>
      </c>
      <c r="E71">
        <v>1</v>
      </c>
      <c r="F71">
        <v>1</v>
      </c>
      <c r="G71">
        <v>30515945</v>
      </c>
      <c r="H71">
        <v>2</v>
      </c>
      <c r="I71" t="s">
        <v>391</v>
      </c>
      <c r="J71" t="s">
        <v>392</v>
      </c>
      <c r="K71" t="s">
        <v>393</v>
      </c>
      <c r="L71">
        <v>1367</v>
      </c>
      <c r="N71">
        <v>1011</v>
      </c>
      <c r="O71" t="s">
        <v>394</v>
      </c>
      <c r="P71" t="s">
        <v>394</v>
      </c>
      <c r="Q71">
        <v>1</v>
      </c>
      <c r="W71">
        <v>0</v>
      </c>
      <c r="X71">
        <v>-628430174</v>
      </c>
      <c r="Y71">
        <v>0.58750000000000002</v>
      </c>
      <c r="AA71">
        <v>0</v>
      </c>
      <c r="AB71">
        <v>641.75</v>
      </c>
      <c r="AC71">
        <v>306.70999999999998</v>
      </c>
      <c r="AD71">
        <v>0</v>
      </c>
      <c r="AE71">
        <v>0</v>
      </c>
      <c r="AF71">
        <v>76.81</v>
      </c>
      <c r="AG71">
        <v>14.36</v>
      </c>
      <c r="AH71">
        <v>0</v>
      </c>
      <c r="AI71">
        <v>1</v>
      </c>
      <c r="AJ71">
        <v>7.98</v>
      </c>
      <c r="AK71">
        <v>20.399999999999999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S71" t="s">
        <v>3</v>
      </c>
      <c r="AT71">
        <v>0.47</v>
      </c>
      <c r="AU71" t="s">
        <v>17</v>
      </c>
      <c r="AV71">
        <v>0</v>
      </c>
      <c r="AW71">
        <v>2</v>
      </c>
      <c r="AX71">
        <v>44962421</v>
      </c>
      <c r="AY71">
        <v>1</v>
      </c>
      <c r="AZ71">
        <v>0</v>
      </c>
      <c r="BA71">
        <v>68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Y71*Source!I52</f>
        <v>2.3206250000000002</v>
      </c>
      <c r="CY71">
        <f>AB71</f>
        <v>641.75</v>
      </c>
      <c r="CZ71">
        <f>AF71</f>
        <v>76.81</v>
      </c>
      <c r="DA71">
        <f>AJ71</f>
        <v>7.98</v>
      </c>
      <c r="DB71">
        <f>ROUND((ROUND(AT71*CZ71,2)*1.25),6)</f>
        <v>45.125</v>
      </c>
      <c r="DC71">
        <f>ROUND((ROUND(AT71*AG71,2)*1.25),6)</f>
        <v>8.4375</v>
      </c>
    </row>
    <row r="72" spans="1:107" x14ac:dyDescent="0.2">
      <c r="A72">
        <f>ROW(Source!A52)</f>
        <v>52</v>
      </c>
      <c r="B72">
        <v>44962055</v>
      </c>
      <c r="C72">
        <v>44962409</v>
      </c>
      <c r="D72">
        <v>30596197</v>
      </c>
      <c r="E72">
        <v>1</v>
      </c>
      <c r="F72">
        <v>1</v>
      </c>
      <c r="G72">
        <v>30515945</v>
      </c>
      <c r="H72">
        <v>2</v>
      </c>
      <c r="I72" t="s">
        <v>395</v>
      </c>
      <c r="J72" t="s">
        <v>396</v>
      </c>
      <c r="K72" t="s">
        <v>397</v>
      </c>
      <c r="L72">
        <v>1367</v>
      </c>
      <c r="N72">
        <v>1011</v>
      </c>
      <c r="O72" t="s">
        <v>394</v>
      </c>
      <c r="P72" t="s">
        <v>394</v>
      </c>
      <c r="Q72">
        <v>1</v>
      </c>
      <c r="W72">
        <v>0</v>
      </c>
      <c r="X72">
        <v>593980231</v>
      </c>
      <c r="Y72">
        <v>4.1500000000000004</v>
      </c>
      <c r="AA72">
        <v>0</v>
      </c>
      <c r="AB72">
        <v>7.93</v>
      </c>
      <c r="AC72">
        <v>0.85</v>
      </c>
      <c r="AD72">
        <v>0</v>
      </c>
      <c r="AE72">
        <v>0</v>
      </c>
      <c r="AF72">
        <v>2.36</v>
      </c>
      <c r="AG72">
        <v>0.04</v>
      </c>
      <c r="AH72">
        <v>0</v>
      </c>
      <c r="AI72">
        <v>1</v>
      </c>
      <c r="AJ72">
        <v>3.21</v>
      </c>
      <c r="AK72">
        <v>20.399999999999999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3</v>
      </c>
      <c r="AT72">
        <v>3.32</v>
      </c>
      <c r="AU72" t="s">
        <v>17</v>
      </c>
      <c r="AV72">
        <v>0</v>
      </c>
      <c r="AW72">
        <v>2</v>
      </c>
      <c r="AX72">
        <v>44962422</v>
      </c>
      <c r="AY72">
        <v>1</v>
      </c>
      <c r="AZ72">
        <v>0</v>
      </c>
      <c r="BA72">
        <v>69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Y72*Source!I52</f>
        <v>16.392500000000002</v>
      </c>
      <c r="CY72">
        <f>AB72</f>
        <v>7.93</v>
      </c>
      <c r="CZ72">
        <f>AF72</f>
        <v>2.36</v>
      </c>
      <c r="DA72">
        <f>AJ72</f>
        <v>3.21</v>
      </c>
      <c r="DB72">
        <f>ROUND((ROUND(AT72*CZ72,2)*1.25),6)</f>
        <v>9.8000000000000007</v>
      </c>
      <c r="DC72">
        <f>ROUND((ROUND(AT72*AG72,2)*1.25),6)</f>
        <v>0.16250000000000001</v>
      </c>
    </row>
    <row r="73" spans="1:107" x14ac:dyDescent="0.2">
      <c r="A73">
        <f>ROW(Source!A52)</f>
        <v>52</v>
      </c>
      <c r="B73">
        <v>44962055</v>
      </c>
      <c r="C73">
        <v>44962409</v>
      </c>
      <c r="D73">
        <v>30595408</v>
      </c>
      <c r="E73">
        <v>1</v>
      </c>
      <c r="F73">
        <v>1</v>
      </c>
      <c r="G73">
        <v>30515945</v>
      </c>
      <c r="H73">
        <v>2</v>
      </c>
      <c r="I73" t="s">
        <v>482</v>
      </c>
      <c r="J73" t="s">
        <v>483</v>
      </c>
      <c r="K73" t="s">
        <v>484</v>
      </c>
      <c r="L73">
        <v>1367</v>
      </c>
      <c r="N73">
        <v>1011</v>
      </c>
      <c r="O73" t="s">
        <v>394</v>
      </c>
      <c r="P73" t="s">
        <v>394</v>
      </c>
      <c r="Q73">
        <v>1</v>
      </c>
      <c r="W73">
        <v>0</v>
      </c>
      <c r="X73">
        <v>-1552106381</v>
      </c>
      <c r="Y73">
        <v>2.5000000000000001E-2</v>
      </c>
      <c r="AA73">
        <v>0</v>
      </c>
      <c r="AB73">
        <v>758.01</v>
      </c>
      <c r="AC73">
        <v>391.93</v>
      </c>
      <c r="AD73">
        <v>0</v>
      </c>
      <c r="AE73">
        <v>0</v>
      </c>
      <c r="AF73">
        <v>58.48</v>
      </c>
      <c r="AG73">
        <v>18.350000000000001</v>
      </c>
      <c r="AH73">
        <v>0</v>
      </c>
      <c r="AI73">
        <v>1</v>
      </c>
      <c r="AJ73">
        <v>12.38</v>
      </c>
      <c r="AK73">
        <v>20.399999999999999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3</v>
      </c>
      <c r="AT73">
        <v>0.02</v>
      </c>
      <c r="AU73" t="s">
        <v>17</v>
      </c>
      <c r="AV73">
        <v>0</v>
      </c>
      <c r="AW73">
        <v>2</v>
      </c>
      <c r="AX73">
        <v>44962423</v>
      </c>
      <c r="AY73">
        <v>1</v>
      </c>
      <c r="AZ73">
        <v>0</v>
      </c>
      <c r="BA73">
        <v>70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Y73*Source!I52</f>
        <v>9.8750000000000004E-2</v>
      </c>
      <c r="CY73">
        <f>AB73</f>
        <v>758.01</v>
      </c>
      <c r="CZ73">
        <f>AF73</f>
        <v>58.48</v>
      </c>
      <c r="DA73">
        <f>AJ73</f>
        <v>12.38</v>
      </c>
      <c r="DB73">
        <f>ROUND((ROUND(AT73*CZ73,2)*1.25),6)</f>
        <v>1.4624999999999999</v>
      </c>
      <c r="DC73">
        <f>ROUND((ROUND(AT73*AG73,2)*1.25),6)</f>
        <v>0.46250000000000002</v>
      </c>
    </row>
    <row r="74" spans="1:107" x14ac:dyDescent="0.2">
      <c r="A74">
        <f>ROW(Source!A52)</f>
        <v>52</v>
      </c>
      <c r="B74">
        <v>44962055</v>
      </c>
      <c r="C74">
        <v>44962409</v>
      </c>
      <c r="D74">
        <v>30571181</v>
      </c>
      <c r="E74">
        <v>1</v>
      </c>
      <c r="F74">
        <v>1</v>
      </c>
      <c r="G74">
        <v>30515945</v>
      </c>
      <c r="H74">
        <v>3</v>
      </c>
      <c r="I74" t="s">
        <v>441</v>
      </c>
      <c r="J74" t="s">
        <v>442</v>
      </c>
      <c r="K74" t="s">
        <v>443</v>
      </c>
      <c r="L74">
        <v>1339</v>
      </c>
      <c r="N74">
        <v>1007</v>
      </c>
      <c r="O74" t="s">
        <v>140</v>
      </c>
      <c r="P74" t="s">
        <v>140</v>
      </c>
      <c r="Q74">
        <v>1</v>
      </c>
      <c r="W74">
        <v>0</v>
      </c>
      <c r="X74">
        <v>-862991314</v>
      </c>
      <c r="Y74">
        <v>0.30199999999999999</v>
      </c>
      <c r="AA74">
        <v>29.98</v>
      </c>
      <c r="AB74">
        <v>0</v>
      </c>
      <c r="AC74">
        <v>0</v>
      </c>
      <c r="AD74">
        <v>0</v>
      </c>
      <c r="AE74">
        <v>7.07</v>
      </c>
      <c r="AF74">
        <v>0</v>
      </c>
      <c r="AG74">
        <v>0</v>
      </c>
      <c r="AH74">
        <v>0</v>
      </c>
      <c r="AI74">
        <v>4.24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0.30199999999999999</v>
      </c>
      <c r="AU74" t="s">
        <v>3</v>
      </c>
      <c r="AV74">
        <v>0</v>
      </c>
      <c r="AW74">
        <v>2</v>
      </c>
      <c r="AX74">
        <v>44962424</v>
      </c>
      <c r="AY74">
        <v>1</v>
      </c>
      <c r="AZ74">
        <v>0</v>
      </c>
      <c r="BA74">
        <v>71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Y74*Source!I52</f>
        <v>1.1929000000000001</v>
      </c>
      <c r="CY74">
        <f>AA74</f>
        <v>29.98</v>
      </c>
      <c r="CZ74">
        <f>AE74</f>
        <v>7.07</v>
      </c>
      <c r="DA74">
        <f>AI74</f>
        <v>4.24</v>
      </c>
      <c r="DB74">
        <f>ROUND(ROUND(AT74*CZ74,2),6)</f>
        <v>2.14</v>
      </c>
      <c r="DC74">
        <f>ROUND(ROUND(AT74*AG74,2),6)</f>
        <v>0</v>
      </c>
    </row>
    <row r="75" spans="1:107" x14ac:dyDescent="0.2">
      <c r="A75">
        <f>ROW(Source!A52)</f>
        <v>52</v>
      </c>
      <c r="B75">
        <v>44962055</v>
      </c>
      <c r="C75">
        <v>44962409</v>
      </c>
      <c r="D75">
        <v>30573305</v>
      </c>
      <c r="E75">
        <v>1</v>
      </c>
      <c r="F75">
        <v>1</v>
      </c>
      <c r="G75">
        <v>30515945</v>
      </c>
      <c r="H75">
        <v>3</v>
      </c>
      <c r="I75" t="s">
        <v>485</v>
      </c>
      <c r="J75" t="s">
        <v>486</v>
      </c>
      <c r="K75" t="s">
        <v>487</v>
      </c>
      <c r="L75">
        <v>1327</v>
      </c>
      <c r="N75">
        <v>1005</v>
      </c>
      <c r="O75" t="s">
        <v>36</v>
      </c>
      <c r="P75" t="s">
        <v>36</v>
      </c>
      <c r="Q75">
        <v>1</v>
      </c>
      <c r="W75">
        <v>0</v>
      </c>
      <c r="X75">
        <v>-934687686</v>
      </c>
      <c r="Y75">
        <v>10</v>
      </c>
      <c r="AA75">
        <v>6.44</v>
      </c>
      <c r="AB75">
        <v>0</v>
      </c>
      <c r="AC75">
        <v>0</v>
      </c>
      <c r="AD75">
        <v>0</v>
      </c>
      <c r="AE75">
        <v>2.31</v>
      </c>
      <c r="AF75">
        <v>0</v>
      </c>
      <c r="AG75">
        <v>0</v>
      </c>
      <c r="AH75">
        <v>0</v>
      </c>
      <c r="AI75">
        <v>2.79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10</v>
      </c>
      <c r="AU75" t="s">
        <v>3</v>
      </c>
      <c r="AV75">
        <v>0</v>
      </c>
      <c r="AW75">
        <v>2</v>
      </c>
      <c r="AX75">
        <v>44962425</v>
      </c>
      <c r="AY75">
        <v>1</v>
      </c>
      <c r="AZ75">
        <v>0</v>
      </c>
      <c r="BA75">
        <v>72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Y75*Source!I52</f>
        <v>39.5</v>
      </c>
      <c r="CY75">
        <f>AA75</f>
        <v>6.44</v>
      </c>
      <c r="CZ75">
        <f>AE75</f>
        <v>2.31</v>
      </c>
      <c r="DA75">
        <f>AI75</f>
        <v>2.79</v>
      </c>
      <c r="DB75">
        <f>ROUND(ROUND(AT75*CZ75,2),6)</f>
        <v>23.1</v>
      </c>
      <c r="DC75">
        <f>ROUND(ROUND(AT75*AG75,2),6)</f>
        <v>0</v>
      </c>
    </row>
    <row r="76" spans="1:107" x14ac:dyDescent="0.2">
      <c r="A76">
        <f>ROW(Source!A52)</f>
        <v>52</v>
      </c>
      <c r="B76">
        <v>44962055</v>
      </c>
      <c r="C76">
        <v>44962409</v>
      </c>
      <c r="D76">
        <v>30573789</v>
      </c>
      <c r="E76">
        <v>1</v>
      </c>
      <c r="F76">
        <v>1</v>
      </c>
      <c r="G76">
        <v>30515945</v>
      </c>
      <c r="H76">
        <v>3</v>
      </c>
      <c r="I76" t="s">
        <v>155</v>
      </c>
      <c r="J76" t="s">
        <v>157</v>
      </c>
      <c r="K76" t="s">
        <v>156</v>
      </c>
      <c r="L76">
        <v>1346</v>
      </c>
      <c r="N76">
        <v>1009</v>
      </c>
      <c r="O76" t="s">
        <v>55</v>
      </c>
      <c r="P76" t="s">
        <v>55</v>
      </c>
      <c r="Q76">
        <v>1</v>
      </c>
      <c r="W76">
        <v>0</v>
      </c>
      <c r="X76">
        <v>-1253196012</v>
      </c>
      <c r="Y76">
        <v>20</v>
      </c>
      <c r="AA76">
        <v>50.98</v>
      </c>
      <c r="AB76">
        <v>0</v>
      </c>
      <c r="AC76">
        <v>0</v>
      </c>
      <c r="AD76">
        <v>0</v>
      </c>
      <c r="AE76">
        <v>21.24</v>
      </c>
      <c r="AF76">
        <v>0</v>
      </c>
      <c r="AG76">
        <v>0</v>
      </c>
      <c r="AH76">
        <v>0</v>
      </c>
      <c r="AI76">
        <v>2.4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3</v>
      </c>
      <c r="AT76">
        <v>20</v>
      </c>
      <c r="AU76" t="s">
        <v>3</v>
      </c>
      <c r="AV76">
        <v>0</v>
      </c>
      <c r="AW76">
        <v>1</v>
      </c>
      <c r="AX76">
        <v>-1</v>
      </c>
      <c r="AY76">
        <v>0</v>
      </c>
      <c r="AZ76">
        <v>0</v>
      </c>
      <c r="BA76" t="s">
        <v>3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Y76*Source!I52</f>
        <v>79</v>
      </c>
      <c r="CY76">
        <f>AA76</f>
        <v>50.98</v>
      </c>
      <c r="CZ76">
        <f>AE76</f>
        <v>21.24</v>
      </c>
      <c r="DA76">
        <f>AI76</f>
        <v>2.4</v>
      </c>
      <c r="DB76">
        <f>ROUND(ROUND(AT76*CZ76,2),6)</f>
        <v>424.8</v>
      </c>
      <c r="DC76">
        <f>ROUND(ROUND(AT76*AG76,2),6)</f>
        <v>0</v>
      </c>
    </row>
    <row r="77" spans="1:107" x14ac:dyDescent="0.2">
      <c r="A77">
        <f>ROW(Source!A52)</f>
        <v>52</v>
      </c>
      <c r="B77">
        <v>44962055</v>
      </c>
      <c r="C77">
        <v>44962409</v>
      </c>
      <c r="D77">
        <v>30589826</v>
      </c>
      <c r="E77">
        <v>1</v>
      </c>
      <c r="F77">
        <v>1</v>
      </c>
      <c r="G77">
        <v>30515945</v>
      </c>
      <c r="H77">
        <v>3</v>
      </c>
      <c r="I77" t="s">
        <v>159</v>
      </c>
      <c r="J77" t="s">
        <v>161</v>
      </c>
      <c r="K77" t="s">
        <v>160</v>
      </c>
      <c r="L77">
        <v>1348</v>
      </c>
      <c r="N77">
        <v>1009</v>
      </c>
      <c r="O77" t="s">
        <v>77</v>
      </c>
      <c r="P77" t="s">
        <v>77</v>
      </c>
      <c r="Q77">
        <v>1000</v>
      </c>
      <c r="W77">
        <v>0</v>
      </c>
      <c r="X77">
        <v>-734549844</v>
      </c>
      <c r="Y77">
        <v>0.84199999999999997</v>
      </c>
      <c r="AA77">
        <v>69965.42</v>
      </c>
      <c r="AB77">
        <v>0</v>
      </c>
      <c r="AC77">
        <v>0</v>
      </c>
      <c r="AD77">
        <v>0</v>
      </c>
      <c r="AE77">
        <v>16698.189999999999</v>
      </c>
      <c r="AF77">
        <v>0</v>
      </c>
      <c r="AG77">
        <v>0</v>
      </c>
      <c r="AH77">
        <v>0</v>
      </c>
      <c r="AI77">
        <v>4.1900000000000004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3</v>
      </c>
      <c r="AT77">
        <v>0.84199999999999997</v>
      </c>
      <c r="AU77" t="s">
        <v>3</v>
      </c>
      <c r="AV77">
        <v>0</v>
      </c>
      <c r="AW77">
        <v>1</v>
      </c>
      <c r="AX77">
        <v>-1</v>
      </c>
      <c r="AY77">
        <v>0</v>
      </c>
      <c r="AZ77">
        <v>0</v>
      </c>
      <c r="BA77" t="s">
        <v>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Y77*Source!I52</f>
        <v>3.3258999999999999</v>
      </c>
      <c r="CY77">
        <f>AA77</f>
        <v>69965.42</v>
      </c>
      <c r="CZ77">
        <f>AE77</f>
        <v>16698.189999999999</v>
      </c>
      <c r="DA77">
        <f>AI77</f>
        <v>4.1900000000000004</v>
      </c>
      <c r="DB77">
        <f>ROUND(ROUND(AT77*CZ77,2),6)</f>
        <v>14059.88</v>
      </c>
      <c r="DC77">
        <f>ROUND(ROUND(AT77*AG77,2),6)</f>
        <v>0</v>
      </c>
    </row>
    <row r="78" spans="1:107" x14ac:dyDescent="0.2">
      <c r="A78">
        <f>ROW(Source!A55)</f>
        <v>55</v>
      </c>
      <c r="B78">
        <v>44962055</v>
      </c>
      <c r="C78">
        <v>44962430</v>
      </c>
      <c r="D78">
        <v>30515951</v>
      </c>
      <c r="E78">
        <v>30515945</v>
      </c>
      <c r="F78">
        <v>1</v>
      </c>
      <c r="G78">
        <v>30515945</v>
      </c>
      <c r="H78">
        <v>1</v>
      </c>
      <c r="I78" t="s">
        <v>388</v>
      </c>
      <c r="J78" t="s">
        <v>3</v>
      </c>
      <c r="K78" t="s">
        <v>389</v>
      </c>
      <c r="L78">
        <v>1191</v>
      </c>
      <c r="N78">
        <v>1013</v>
      </c>
      <c r="O78" t="s">
        <v>390</v>
      </c>
      <c r="P78" t="s">
        <v>390</v>
      </c>
      <c r="Q78">
        <v>1</v>
      </c>
      <c r="W78">
        <v>0</v>
      </c>
      <c r="X78">
        <v>476480486</v>
      </c>
      <c r="Y78">
        <v>3.956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S78" t="s">
        <v>3</v>
      </c>
      <c r="AT78">
        <v>3.44</v>
      </c>
      <c r="AU78" t="s">
        <v>18</v>
      </c>
      <c r="AV78">
        <v>1</v>
      </c>
      <c r="AW78">
        <v>2</v>
      </c>
      <c r="AX78">
        <v>44962436</v>
      </c>
      <c r="AY78">
        <v>1</v>
      </c>
      <c r="AZ78">
        <v>0</v>
      </c>
      <c r="BA78">
        <v>75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Y78*Source!I55</f>
        <v>15.626200000000001</v>
      </c>
      <c r="CY78">
        <f>AD78</f>
        <v>0</v>
      </c>
      <c r="CZ78">
        <f>AH78</f>
        <v>0</v>
      </c>
      <c r="DA78">
        <f>AL78</f>
        <v>1</v>
      </c>
      <c r="DB78">
        <f>ROUND((ROUND(AT78*CZ78,2)*1.15),6)</f>
        <v>0</v>
      </c>
      <c r="DC78">
        <f>ROUND((ROUND(AT78*AG78,2)*1.15),6)</f>
        <v>0</v>
      </c>
    </row>
    <row r="79" spans="1:107" x14ac:dyDescent="0.2">
      <c r="A79">
        <f>ROW(Source!A55)</f>
        <v>55</v>
      </c>
      <c r="B79">
        <v>44962055</v>
      </c>
      <c r="C79">
        <v>44962430</v>
      </c>
      <c r="D79">
        <v>30596074</v>
      </c>
      <c r="E79">
        <v>1</v>
      </c>
      <c r="F79">
        <v>1</v>
      </c>
      <c r="G79">
        <v>30515945</v>
      </c>
      <c r="H79">
        <v>2</v>
      </c>
      <c r="I79" t="s">
        <v>391</v>
      </c>
      <c r="J79" t="s">
        <v>392</v>
      </c>
      <c r="K79" t="s">
        <v>393</v>
      </c>
      <c r="L79">
        <v>1367</v>
      </c>
      <c r="N79">
        <v>1011</v>
      </c>
      <c r="O79" t="s">
        <v>394</v>
      </c>
      <c r="P79" t="s">
        <v>394</v>
      </c>
      <c r="Q79">
        <v>1</v>
      </c>
      <c r="W79">
        <v>0</v>
      </c>
      <c r="X79">
        <v>-628430174</v>
      </c>
      <c r="Y79">
        <v>0.125</v>
      </c>
      <c r="AA79">
        <v>0</v>
      </c>
      <c r="AB79">
        <v>641.75</v>
      </c>
      <c r="AC79">
        <v>306.70999999999998</v>
      </c>
      <c r="AD79">
        <v>0</v>
      </c>
      <c r="AE79">
        <v>0</v>
      </c>
      <c r="AF79">
        <v>76.81</v>
      </c>
      <c r="AG79">
        <v>14.36</v>
      </c>
      <c r="AH79">
        <v>0</v>
      </c>
      <c r="AI79">
        <v>1</v>
      </c>
      <c r="AJ79">
        <v>7.98</v>
      </c>
      <c r="AK79">
        <v>20.399999999999999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S79" t="s">
        <v>3</v>
      </c>
      <c r="AT79">
        <v>0.1</v>
      </c>
      <c r="AU79" t="s">
        <v>17</v>
      </c>
      <c r="AV79">
        <v>0</v>
      </c>
      <c r="AW79">
        <v>2</v>
      </c>
      <c r="AX79">
        <v>44962437</v>
      </c>
      <c r="AY79">
        <v>1</v>
      </c>
      <c r="AZ79">
        <v>0</v>
      </c>
      <c r="BA79">
        <v>76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Y79*Source!I55</f>
        <v>0.49375000000000002</v>
      </c>
      <c r="CY79">
        <f>AB79</f>
        <v>641.75</v>
      </c>
      <c r="CZ79">
        <f>AF79</f>
        <v>76.81</v>
      </c>
      <c r="DA79">
        <f>AJ79</f>
        <v>7.98</v>
      </c>
      <c r="DB79">
        <f>ROUND((ROUND(AT79*CZ79,2)*1.25),6)</f>
        <v>9.6</v>
      </c>
      <c r="DC79">
        <f>ROUND((ROUND(AT79*AG79,2)*1.25),6)</f>
        <v>1.8</v>
      </c>
    </row>
    <row r="80" spans="1:107" x14ac:dyDescent="0.2">
      <c r="A80">
        <f>ROW(Source!A55)</f>
        <v>55</v>
      </c>
      <c r="B80">
        <v>44962055</v>
      </c>
      <c r="C80">
        <v>44962430</v>
      </c>
      <c r="D80">
        <v>30596197</v>
      </c>
      <c r="E80">
        <v>1</v>
      </c>
      <c r="F80">
        <v>1</v>
      </c>
      <c r="G80">
        <v>30515945</v>
      </c>
      <c r="H80">
        <v>2</v>
      </c>
      <c r="I80" t="s">
        <v>395</v>
      </c>
      <c r="J80" t="s">
        <v>396</v>
      </c>
      <c r="K80" t="s">
        <v>397</v>
      </c>
      <c r="L80">
        <v>1367</v>
      </c>
      <c r="N80">
        <v>1011</v>
      </c>
      <c r="O80" t="s">
        <v>394</v>
      </c>
      <c r="P80" t="s">
        <v>394</v>
      </c>
      <c r="Q80">
        <v>1</v>
      </c>
      <c r="W80">
        <v>0</v>
      </c>
      <c r="X80">
        <v>593980231</v>
      </c>
      <c r="Y80">
        <v>0.75</v>
      </c>
      <c r="AA80">
        <v>0</v>
      </c>
      <c r="AB80">
        <v>7.93</v>
      </c>
      <c r="AC80">
        <v>0.85</v>
      </c>
      <c r="AD80">
        <v>0</v>
      </c>
      <c r="AE80">
        <v>0</v>
      </c>
      <c r="AF80">
        <v>2.36</v>
      </c>
      <c r="AG80">
        <v>0.04</v>
      </c>
      <c r="AH80">
        <v>0</v>
      </c>
      <c r="AI80">
        <v>1</v>
      </c>
      <c r="AJ80">
        <v>3.21</v>
      </c>
      <c r="AK80">
        <v>20.399999999999999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S80" t="s">
        <v>3</v>
      </c>
      <c r="AT80">
        <v>0.6</v>
      </c>
      <c r="AU80" t="s">
        <v>17</v>
      </c>
      <c r="AV80">
        <v>0</v>
      </c>
      <c r="AW80">
        <v>2</v>
      </c>
      <c r="AX80">
        <v>44962438</v>
      </c>
      <c r="AY80">
        <v>1</v>
      </c>
      <c r="AZ80">
        <v>0</v>
      </c>
      <c r="BA80">
        <v>77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Y80*Source!I55</f>
        <v>2.9625000000000004</v>
      </c>
      <c r="CY80">
        <f>AB80</f>
        <v>7.93</v>
      </c>
      <c r="CZ80">
        <f>AF80</f>
        <v>2.36</v>
      </c>
      <c r="DA80">
        <f>AJ80</f>
        <v>3.21</v>
      </c>
      <c r="DB80">
        <f>ROUND((ROUND(AT80*CZ80,2)*1.25),6)</f>
        <v>1.7749999999999999</v>
      </c>
      <c r="DC80">
        <f>ROUND((ROUND(AT80*AG80,2)*1.25),6)</f>
        <v>2.5000000000000001E-2</v>
      </c>
    </row>
    <row r="81" spans="1:107" x14ac:dyDescent="0.2">
      <c r="A81">
        <f>ROW(Source!A55)</f>
        <v>55</v>
      </c>
      <c r="B81">
        <v>44962055</v>
      </c>
      <c r="C81">
        <v>44962430</v>
      </c>
      <c r="D81">
        <v>30571181</v>
      </c>
      <c r="E81">
        <v>1</v>
      </c>
      <c r="F81">
        <v>1</v>
      </c>
      <c r="G81">
        <v>30515945</v>
      </c>
      <c r="H81">
        <v>3</v>
      </c>
      <c r="I81" t="s">
        <v>441</v>
      </c>
      <c r="J81" t="s">
        <v>442</v>
      </c>
      <c r="K81" t="s">
        <v>443</v>
      </c>
      <c r="L81">
        <v>1339</v>
      </c>
      <c r="N81">
        <v>1007</v>
      </c>
      <c r="O81" t="s">
        <v>140</v>
      </c>
      <c r="P81" t="s">
        <v>140</v>
      </c>
      <c r="Q81">
        <v>1</v>
      </c>
      <c r="W81">
        <v>0</v>
      </c>
      <c r="X81">
        <v>-862991314</v>
      </c>
      <c r="Y81">
        <v>4.0399999999999998E-2</v>
      </c>
      <c r="AA81">
        <v>29.98</v>
      </c>
      <c r="AB81">
        <v>0</v>
      </c>
      <c r="AC81">
        <v>0</v>
      </c>
      <c r="AD81">
        <v>0</v>
      </c>
      <c r="AE81">
        <v>7.07</v>
      </c>
      <c r="AF81">
        <v>0</v>
      </c>
      <c r="AG81">
        <v>0</v>
      </c>
      <c r="AH81">
        <v>0</v>
      </c>
      <c r="AI81">
        <v>4.24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S81" t="s">
        <v>3</v>
      </c>
      <c r="AT81">
        <v>4.0399999999999998E-2</v>
      </c>
      <c r="AU81" t="s">
        <v>3</v>
      </c>
      <c r="AV81">
        <v>0</v>
      </c>
      <c r="AW81">
        <v>2</v>
      </c>
      <c r="AX81">
        <v>44962439</v>
      </c>
      <c r="AY81">
        <v>1</v>
      </c>
      <c r="AZ81">
        <v>0</v>
      </c>
      <c r="BA81">
        <v>78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Y81*Source!I55</f>
        <v>0.15958</v>
      </c>
      <c r="CY81">
        <f>AA81</f>
        <v>29.98</v>
      </c>
      <c r="CZ81">
        <f>AE81</f>
        <v>7.07</v>
      </c>
      <c r="DA81">
        <f>AI81</f>
        <v>4.24</v>
      </c>
      <c r="DB81">
        <f>ROUND(ROUND(AT81*CZ81,2),6)</f>
        <v>0.28999999999999998</v>
      </c>
      <c r="DC81">
        <f>ROUND(ROUND(AT81*AG81,2),6)</f>
        <v>0</v>
      </c>
    </row>
    <row r="82" spans="1:107" x14ac:dyDescent="0.2">
      <c r="A82">
        <f>ROW(Source!A55)</f>
        <v>55</v>
      </c>
      <c r="B82">
        <v>44962055</v>
      </c>
      <c r="C82">
        <v>44962430</v>
      </c>
      <c r="D82">
        <v>30589826</v>
      </c>
      <c r="E82">
        <v>1</v>
      </c>
      <c r="F82">
        <v>1</v>
      </c>
      <c r="G82">
        <v>30515945</v>
      </c>
      <c r="H82">
        <v>3</v>
      </c>
      <c r="I82" t="s">
        <v>159</v>
      </c>
      <c r="J82" t="s">
        <v>161</v>
      </c>
      <c r="K82" t="s">
        <v>160</v>
      </c>
      <c r="L82">
        <v>1348</v>
      </c>
      <c r="N82">
        <v>1009</v>
      </c>
      <c r="O82" t="s">
        <v>77</v>
      </c>
      <c r="P82" t="s">
        <v>77</v>
      </c>
      <c r="Q82">
        <v>1000</v>
      </c>
      <c r="W82">
        <v>0</v>
      </c>
      <c r="X82">
        <v>-734549844</v>
      </c>
      <c r="Y82">
        <v>0.16800000000000001</v>
      </c>
      <c r="AA82">
        <v>69965.42</v>
      </c>
      <c r="AB82">
        <v>0</v>
      </c>
      <c r="AC82">
        <v>0</v>
      </c>
      <c r="AD82">
        <v>0</v>
      </c>
      <c r="AE82">
        <v>16698.189999999999</v>
      </c>
      <c r="AF82">
        <v>0</v>
      </c>
      <c r="AG82">
        <v>0</v>
      </c>
      <c r="AH82">
        <v>0</v>
      </c>
      <c r="AI82">
        <v>4.1900000000000004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1</v>
      </c>
      <c r="AQ82">
        <v>0</v>
      </c>
      <c r="AR82">
        <v>0</v>
      </c>
      <c r="AS82" t="s">
        <v>3</v>
      </c>
      <c r="AT82">
        <v>0.16800000000000001</v>
      </c>
      <c r="AU82" t="s">
        <v>3</v>
      </c>
      <c r="AV82">
        <v>0</v>
      </c>
      <c r="AW82">
        <v>1</v>
      </c>
      <c r="AX82">
        <v>-1</v>
      </c>
      <c r="AY82">
        <v>0</v>
      </c>
      <c r="AZ82">
        <v>0</v>
      </c>
      <c r="BA82" t="s">
        <v>3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Y82*Source!I55</f>
        <v>0.66360000000000008</v>
      </c>
      <c r="CY82">
        <f>AA82</f>
        <v>69965.42</v>
      </c>
      <c r="CZ82">
        <f>AE82</f>
        <v>16698.189999999999</v>
      </c>
      <c r="DA82">
        <f>AI82</f>
        <v>4.1900000000000004</v>
      </c>
      <c r="DB82">
        <f>ROUND(ROUND(AT82*CZ82,2),6)</f>
        <v>2805.3</v>
      </c>
      <c r="DC82">
        <f>ROUND(ROUND(AT82*AG82,2),6)</f>
        <v>0</v>
      </c>
    </row>
    <row r="83" spans="1:107" x14ac:dyDescent="0.2">
      <c r="A83">
        <f>ROW(Source!A57)</f>
        <v>57</v>
      </c>
      <c r="B83">
        <v>44962055</v>
      </c>
      <c r="C83">
        <v>44962442</v>
      </c>
      <c r="D83">
        <v>30515951</v>
      </c>
      <c r="E83">
        <v>30515945</v>
      </c>
      <c r="F83">
        <v>1</v>
      </c>
      <c r="G83">
        <v>30515945</v>
      </c>
      <c r="H83">
        <v>1</v>
      </c>
      <c r="I83" t="s">
        <v>388</v>
      </c>
      <c r="J83" t="s">
        <v>3</v>
      </c>
      <c r="K83" t="s">
        <v>389</v>
      </c>
      <c r="L83">
        <v>1191</v>
      </c>
      <c r="N83">
        <v>1013</v>
      </c>
      <c r="O83" t="s">
        <v>390</v>
      </c>
      <c r="P83" t="s">
        <v>390</v>
      </c>
      <c r="Q83">
        <v>1</v>
      </c>
      <c r="W83">
        <v>0</v>
      </c>
      <c r="X83">
        <v>476480486</v>
      </c>
      <c r="Y83">
        <v>43.93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S83" t="s">
        <v>3</v>
      </c>
      <c r="AT83">
        <v>38.200000000000003</v>
      </c>
      <c r="AU83" t="s">
        <v>18</v>
      </c>
      <c r="AV83">
        <v>1</v>
      </c>
      <c r="AW83">
        <v>2</v>
      </c>
      <c r="AX83">
        <v>44962448</v>
      </c>
      <c r="AY83">
        <v>1</v>
      </c>
      <c r="AZ83">
        <v>0</v>
      </c>
      <c r="BA83">
        <v>80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Y83*Source!I57</f>
        <v>173.52350000000001</v>
      </c>
      <c r="CY83">
        <f>AD83</f>
        <v>0</v>
      </c>
      <c r="CZ83">
        <f>AH83</f>
        <v>0</v>
      </c>
      <c r="DA83">
        <f>AL83</f>
        <v>1</v>
      </c>
      <c r="DB83">
        <f>ROUND((ROUND(AT83*CZ83,2)*1.15),6)</f>
        <v>0</v>
      </c>
      <c r="DC83">
        <f>ROUND((ROUND(AT83*AG83,2)*1.15),6)</f>
        <v>0</v>
      </c>
    </row>
    <row r="84" spans="1:107" x14ac:dyDescent="0.2">
      <c r="A84">
        <f>ROW(Source!A57)</f>
        <v>57</v>
      </c>
      <c r="B84">
        <v>44962055</v>
      </c>
      <c r="C84">
        <v>44962442</v>
      </c>
      <c r="D84">
        <v>30516999</v>
      </c>
      <c r="E84">
        <v>30515945</v>
      </c>
      <c r="F84">
        <v>1</v>
      </c>
      <c r="G84">
        <v>30515945</v>
      </c>
      <c r="H84">
        <v>2</v>
      </c>
      <c r="I84" t="s">
        <v>438</v>
      </c>
      <c r="J84" t="s">
        <v>3</v>
      </c>
      <c r="K84" t="s">
        <v>439</v>
      </c>
      <c r="L84">
        <v>1344</v>
      </c>
      <c r="N84">
        <v>1008</v>
      </c>
      <c r="O84" t="s">
        <v>440</v>
      </c>
      <c r="P84" t="s">
        <v>440</v>
      </c>
      <c r="Q84">
        <v>1</v>
      </c>
      <c r="W84">
        <v>0</v>
      </c>
      <c r="X84">
        <v>-1180195794</v>
      </c>
      <c r="Y84">
        <v>80.025000000000006</v>
      </c>
      <c r="AA84">
        <v>0</v>
      </c>
      <c r="AB84">
        <v>1.05</v>
      </c>
      <c r="AC84">
        <v>0</v>
      </c>
      <c r="AD84">
        <v>0</v>
      </c>
      <c r="AE84">
        <v>0</v>
      </c>
      <c r="AF84">
        <v>1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S84" t="s">
        <v>3</v>
      </c>
      <c r="AT84">
        <v>64.02</v>
      </c>
      <c r="AU84" t="s">
        <v>17</v>
      </c>
      <c r="AV84">
        <v>0</v>
      </c>
      <c r="AW84">
        <v>2</v>
      </c>
      <c r="AX84">
        <v>44962449</v>
      </c>
      <c r="AY84">
        <v>1</v>
      </c>
      <c r="AZ84">
        <v>0</v>
      </c>
      <c r="BA84">
        <v>81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Y84*Source!I57</f>
        <v>316.09875000000005</v>
      </c>
      <c r="CY84">
        <f>AB84</f>
        <v>1.05</v>
      </c>
      <c r="CZ84">
        <f>AF84</f>
        <v>1</v>
      </c>
      <c r="DA84">
        <f>AJ84</f>
        <v>1</v>
      </c>
      <c r="DB84">
        <f>ROUND((ROUND(AT84*CZ84,2)*1.25),6)</f>
        <v>80.025000000000006</v>
      </c>
      <c r="DC84">
        <f>ROUND((ROUND(AT84*AG84,2)*1.25),6)</f>
        <v>0</v>
      </c>
    </row>
    <row r="85" spans="1:107" x14ac:dyDescent="0.2">
      <c r="A85">
        <f>ROW(Source!A57)</f>
        <v>57</v>
      </c>
      <c r="B85">
        <v>44962055</v>
      </c>
      <c r="C85">
        <v>44962442</v>
      </c>
      <c r="D85">
        <v>30571438</v>
      </c>
      <c r="E85">
        <v>1</v>
      </c>
      <c r="F85">
        <v>1</v>
      </c>
      <c r="G85">
        <v>30515945</v>
      </c>
      <c r="H85">
        <v>3</v>
      </c>
      <c r="I85" t="s">
        <v>175</v>
      </c>
      <c r="J85" t="s">
        <v>177</v>
      </c>
      <c r="K85" t="s">
        <v>176</v>
      </c>
      <c r="L85">
        <v>1348</v>
      </c>
      <c r="N85">
        <v>1009</v>
      </c>
      <c r="O85" t="s">
        <v>77</v>
      </c>
      <c r="P85" t="s">
        <v>77</v>
      </c>
      <c r="Q85">
        <v>1000</v>
      </c>
      <c r="W85">
        <v>0</v>
      </c>
      <c r="X85">
        <v>2110379699</v>
      </c>
      <c r="Y85">
        <v>4.6300000000000001E-2</v>
      </c>
      <c r="AA85">
        <v>55891.53</v>
      </c>
      <c r="AB85">
        <v>0</v>
      </c>
      <c r="AC85">
        <v>0</v>
      </c>
      <c r="AD85">
        <v>0</v>
      </c>
      <c r="AE85">
        <v>43326.77</v>
      </c>
      <c r="AF85">
        <v>0</v>
      </c>
      <c r="AG85">
        <v>0</v>
      </c>
      <c r="AH85">
        <v>0</v>
      </c>
      <c r="AI85">
        <v>1.29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3</v>
      </c>
      <c r="AT85">
        <v>4.6300000000000001E-2</v>
      </c>
      <c r="AU85" t="s">
        <v>3</v>
      </c>
      <c r="AV85">
        <v>0</v>
      </c>
      <c r="AW85">
        <v>1</v>
      </c>
      <c r="AX85">
        <v>-1</v>
      </c>
      <c r="AY85">
        <v>0</v>
      </c>
      <c r="AZ85">
        <v>0</v>
      </c>
      <c r="BA85" t="s">
        <v>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Y85*Source!I57</f>
        <v>0.18288500000000002</v>
      </c>
      <c r="CY85">
        <f>AA85</f>
        <v>55891.53</v>
      </c>
      <c r="CZ85">
        <f>AE85</f>
        <v>43326.77</v>
      </c>
      <c r="DA85">
        <f>AI85</f>
        <v>1.29</v>
      </c>
      <c r="DB85">
        <f>ROUND(ROUND(AT85*CZ85,2),6)</f>
        <v>2006.03</v>
      </c>
      <c r="DC85">
        <f>ROUND(ROUND(AT85*AG85,2),6)</f>
        <v>0</v>
      </c>
    </row>
    <row r="86" spans="1:107" x14ac:dyDescent="0.2">
      <c r="A86">
        <f>ROW(Source!A57)</f>
        <v>57</v>
      </c>
      <c r="B86">
        <v>44962055</v>
      </c>
      <c r="C86">
        <v>44962442</v>
      </c>
      <c r="D86">
        <v>30571574</v>
      </c>
      <c r="E86">
        <v>1</v>
      </c>
      <c r="F86">
        <v>1</v>
      </c>
      <c r="G86">
        <v>30515945</v>
      </c>
      <c r="H86">
        <v>3</v>
      </c>
      <c r="I86" t="s">
        <v>179</v>
      </c>
      <c r="J86" t="s">
        <v>181</v>
      </c>
      <c r="K86" t="s">
        <v>180</v>
      </c>
      <c r="L86">
        <v>1327</v>
      </c>
      <c r="N86">
        <v>1005</v>
      </c>
      <c r="O86" t="s">
        <v>36</v>
      </c>
      <c r="P86" t="s">
        <v>36</v>
      </c>
      <c r="Q86">
        <v>1</v>
      </c>
      <c r="W86">
        <v>0</v>
      </c>
      <c r="X86">
        <v>703888809</v>
      </c>
      <c r="Y86">
        <v>107</v>
      </c>
      <c r="AA86">
        <v>188.91</v>
      </c>
      <c r="AB86">
        <v>0</v>
      </c>
      <c r="AC86">
        <v>0</v>
      </c>
      <c r="AD86">
        <v>0</v>
      </c>
      <c r="AE86">
        <v>106.73</v>
      </c>
      <c r="AF86">
        <v>0</v>
      </c>
      <c r="AG86">
        <v>0</v>
      </c>
      <c r="AH86">
        <v>0</v>
      </c>
      <c r="AI86">
        <v>1.77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3</v>
      </c>
      <c r="AT86">
        <v>107</v>
      </c>
      <c r="AU86" t="s">
        <v>3</v>
      </c>
      <c r="AV86">
        <v>0</v>
      </c>
      <c r="AW86">
        <v>1</v>
      </c>
      <c r="AX86">
        <v>-1</v>
      </c>
      <c r="AY86">
        <v>0</v>
      </c>
      <c r="AZ86">
        <v>0</v>
      </c>
      <c r="BA86" t="s">
        <v>3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Y86*Source!I57</f>
        <v>422.65000000000003</v>
      </c>
      <c r="CY86">
        <f>AA86</f>
        <v>188.91</v>
      </c>
      <c r="CZ86">
        <f>AE86</f>
        <v>106.73</v>
      </c>
      <c r="DA86">
        <f>AI86</f>
        <v>1.77</v>
      </c>
      <c r="DB86">
        <f>ROUND(ROUND(AT86*CZ86,2),6)</f>
        <v>11420.11</v>
      </c>
      <c r="DC86">
        <f>ROUND(ROUND(AT86*AG86,2),6)</f>
        <v>0</v>
      </c>
    </row>
    <row r="87" spans="1:107" x14ac:dyDescent="0.2">
      <c r="A87">
        <f>ROW(Source!A57)</f>
        <v>57</v>
      </c>
      <c r="B87">
        <v>44962055</v>
      </c>
      <c r="C87">
        <v>44962442</v>
      </c>
      <c r="D87">
        <v>30541208</v>
      </c>
      <c r="E87">
        <v>30515945</v>
      </c>
      <c r="F87">
        <v>1</v>
      </c>
      <c r="G87">
        <v>30515945</v>
      </c>
      <c r="H87">
        <v>3</v>
      </c>
      <c r="I87" t="s">
        <v>453</v>
      </c>
      <c r="J87" t="s">
        <v>3</v>
      </c>
      <c r="K87" t="s">
        <v>454</v>
      </c>
      <c r="L87">
        <v>1344</v>
      </c>
      <c r="N87">
        <v>1008</v>
      </c>
      <c r="O87" t="s">
        <v>440</v>
      </c>
      <c r="P87" t="s">
        <v>440</v>
      </c>
      <c r="Q87">
        <v>1</v>
      </c>
      <c r="W87">
        <v>0</v>
      </c>
      <c r="X87">
        <v>-94250534</v>
      </c>
      <c r="Y87">
        <v>0.98</v>
      </c>
      <c r="AA87">
        <v>1</v>
      </c>
      <c r="AB87">
        <v>0</v>
      </c>
      <c r="AC87">
        <v>0</v>
      </c>
      <c r="AD87">
        <v>0</v>
      </c>
      <c r="AE87">
        <v>1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0.98</v>
      </c>
      <c r="AU87" t="s">
        <v>3</v>
      </c>
      <c r="AV87">
        <v>0</v>
      </c>
      <c r="AW87">
        <v>2</v>
      </c>
      <c r="AX87">
        <v>44962452</v>
      </c>
      <c r="AY87">
        <v>1</v>
      </c>
      <c r="AZ87">
        <v>0</v>
      </c>
      <c r="BA87">
        <v>84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Y87*Source!I57</f>
        <v>3.871</v>
      </c>
      <c r="CY87">
        <f>AA87</f>
        <v>1</v>
      </c>
      <c r="CZ87">
        <f>AE87</f>
        <v>1</v>
      </c>
      <c r="DA87">
        <f>AI87</f>
        <v>1</v>
      </c>
      <c r="DB87">
        <f>ROUND(ROUND(AT87*CZ87,2),6)</f>
        <v>0.98</v>
      </c>
      <c r="DC87">
        <f>ROUND(ROUND(AT87*AG87,2),6)</f>
        <v>0</v>
      </c>
    </row>
    <row r="88" spans="1:107" x14ac:dyDescent="0.2">
      <c r="A88">
        <f>ROW(Source!A60)</f>
        <v>60</v>
      </c>
      <c r="B88">
        <v>44962055</v>
      </c>
      <c r="C88">
        <v>44962455</v>
      </c>
      <c r="D88">
        <v>30515951</v>
      </c>
      <c r="E88">
        <v>30515945</v>
      </c>
      <c r="F88">
        <v>1</v>
      </c>
      <c r="G88">
        <v>30515945</v>
      </c>
      <c r="H88">
        <v>1</v>
      </c>
      <c r="I88" t="s">
        <v>388</v>
      </c>
      <c r="J88" t="s">
        <v>3</v>
      </c>
      <c r="K88" t="s">
        <v>389</v>
      </c>
      <c r="L88">
        <v>1191</v>
      </c>
      <c r="N88">
        <v>1013</v>
      </c>
      <c r="O88" t="s">
        <v>390</v>
      </c>
      <c r="P88" t="s">
        <v>390</v>
      </c>
      <c r="Q88">
        <v>1</v>
      </c>
      <c r="W88">
        <v>0</v>
      </c>
      <c r="X88">
        <v>476480486</v>
      </c>
      <c r="Y88">
        <v>10.3385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S88" t="s">
        <v>3</v>
      </c>
      <c r="AT88">
        <v>8.99</v>
      </c>
      <c r="AU88" t="s">
        <v>18</v>
      </c>
      <c r="AV88">
        <v>1</v>
      </c>
      <c r="AW88">
        <v>2</v>
      </c>
      <c r="AX88">
        <v>44962460</v>
      </c>
      <c r="AY88">
        <v>1</v>
      </c>
      <c r="AZ88">
        <v>0</v>
      </c>
      <c r="BA88">
        <v>85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Y88*Source!I60</f>
        <v>30.808730000000001</v>
      </c>
      <c r="CY88">
        <f>AD88</f>
        <v>0</v>
      </c>
      <c r="CZ88">
        <f>AH88</f>
        <v>0</v>
      </c>
      <c r="DA88">
        <f>AL88</f>
        <v>1</v>
      </c>
      <c r="DB88">
        <f>ROUND((ROUND(AT88*CZ88,2)*1.15),6)</f>
        <v>0</v>
      </c>
      <c r="DC88">
        <f>ROUND((ROUND(AT88*AG88,2)*1.15),6)</f>
        <v>0</v>
      </c>
    </row>
    <row r="89" spans="1:107" x14ac:dyDescent="0.2">
      <c r="A89">
        <f>ROW(Source!A60)</f>
        <v>60</v>
      </c>
      <c r="B89">
        <v>44962055</v>
      </c>
      <c r="C89">
        <v>44962455</v>
      </c>
      <c r="D89">
        <v>30516999</v>
      </c>
      <c r="E89">
        <v>30515945</v>
      </c>
      <c r="F89">
        <v>1</v>
      </c>
      <c r="G89">
        <v>30515945</v>
      </c>
      <c r="H89">
        <v>2</v>
      </c>
      <c r="I89" t="s">
        <v>438</v>
      </c>
      <c r="J89" t="s">
        <v>3</v>
      </c>
      <c r="K89" t="s">
        <v>439</v>
      </c>
      <c r="L89">
        <v>1344</v>
      </c>
      <c r="N89">
        <v>1008</v>
      </c>
      <c r="O89" t="s">
        <v>440</v>
      </c>
      <c r="P89" t="s">
        <v>440</v>
      </c>
      <c r="Q89">
        <v>1</v>
      </c>
      <c r="W89">
        <v>0</v>
      </c>
      <c r="X89">
        <v>-1180195794</v>
      </c>
      <c r="Y89">
        <v>4.6500000000000004</v>
      </c>
      <c r="AA89">
        <v>0</v>
      </c>
      <c r="AB89">
        <v>1.05</v>
      </c>
      <c r="AC89">
        <v>0</v>
      </c>
      <c r="AD89">
        <v>0</v>
      </c>
      <c r="AE89">
        <v>0</v>
      </c>
      <c r="AF89">
        <v>1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S89" t="s">
        <v>3</v>
      </c>
      <c r="AT89">
        <v>3.72</v>
      </c>
      <c r="AU89" t="s">
        <v>17</v>
      </c>
      <c r="AV89">
        <v>0</v>
      </c>
      <c r="AW89">
        <v>2</v>
      </c>
      <c r="AX89">
        <v>44962461</v>
      </c>
      <c r="AY89">
        <v>1</v>
      </c>
      <c r="AZ89">
        <v>0</v>
      </c>
      <c r="BA89">
        <v>86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Y89*Source!I60</f>
        <v>13.857000000000001</v>
      </c>
      <c r="CY89">
        <f>AB89</f>
        <v>1.05</v>
      </c>
      <c r="CZ89">
        <f>AF89</f>
        <v>1</v>
      </c>
      <c r="DA89">
        <f>AJ89</f>
        <v>1</v>
      </c>
      <c r="DB89">
        <f>ROUND((ROUND(AT89*CZ89,2)*1.25),6)</f>
        <v>4.6500000000000004</v>
      </c>
      <c r="DC89">
        <f>ROUND((ROUND(AT89*AG89,2)*1.25),6)</f>
        <v>0</v>
      </c>
    </row>
    <row r="90" spans="1:107" x14ac:dyDescent="0.2">
      <c r="A90">
        <f>ROW(Source!A60)</f>
        <v>60</v>
      </c>
      <c r="B90">
        <v>44962055</v>
      </c>
      <c r="C90">
        <v>44962455</v>
      </c>
      <c r="D90">
        <v>30571344</v>
      </c>
      <c r="E90">
        <v>1</v>
      </c>
      <c r="F90">
        <v>1</v>
      </c>
      <c r="G90">
        <v>30515945</v>
      </c>
      <c r="H90">
        <v>3</v>
      </c>
      <c r="I90" t="s">
        <v>192</v>
      </c>
      <c r="J90" t="s">
        <v>194</v>
      </c>
      <c r="K90" t="s">
        <v>193</v>
      </c>
      <c r="L90">
        <v>1301</v>
      </c>
      <c r="N90">
        <v>1003</v>
      </c>
      <c r="O90" t="s">
        <v>26</v>
      </c>
      <c r="P90" t="s">
        <v>26</v>
      </c>
      <c r="Q90">
        <v>1</v>
      </c>
      <c r="W90">
        <v>0</v>
      </c>
      <c r="X90">
        <v>1762455265</v>
      </c>
      <c r="Y90">
        <v>100</v>
      </c>
      <c r="AA90">
        <v>35.04</v>
      </c>
      <c r="AB90">
        <v>0</v>
      </c>
      <c r="AC90">
        <v>0</v>
      </c>
      <c r="AD90">
        <v>0</v>
      </c>
      <c r="AE90">
        <v>22.18</v>
      </c>
      <c r="AF90">
        <v>0</v>
      </c>
      <c r="AG90">
        <v>0</v>
      </c>
      <c r="AH90">
        <v>0</v>
      </c>
      <c r="AI90">
        <v>1.58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3</v>
      </c>
      <c r="AT90">
        <v>100</v>
      </c>
      <c r="AU90" t="s">
        <v>3</v>
      </c>
      <c r="AV90">
        <v>0</v>
      </c>
      <c r="AW90">
        <v>1</v>
      </c>
      <c r="AX90">
        <v>-1</v>
      </c>
      <c r="AY90">
        <v>0</v>
      </c>
      <c r="AZ90">
        <v>0</v>
      </c>
      <c r="BA90" t="s">
        <v>3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Y90*Source!I60</f>
        <v>298</v>
      </c>
      <c r="CY90">
        <f>AA90</f>
        <v>35.04</v>
      </c>
      <c r="CZ90">
        <f>AE90</f>
        <v>22.18</v>
      </c>
      <c r="DA90">
        <f>AI90</f>
        <v>1.58</v>
      </c>
      <c r="DB90">
        <f>ROUND(ROUND(AT90*CZ90,2),6)</f>
        <v>2218</v>
      </c>
      <c r="DC90">
        <f>ROUND(ROUND(AT90*AG90,2),6)</f>
        <v>0</v>
      </c>
    </row>
    <row r="91" spans="1:107" x14ac:dyDescent="0.2">
      <c r="A91">
        <f>ROW(Source!A60)</f>
        <v>60</v>
      </c>
      <c r="B91">
        <v>44962055</v>
      </c>
      <c r="C91">
        <v>44962455</v>
      </c>
      <c r="D91">
        <v>30571444</v>
      </c>
      <c r="E91">
        <v>1</v>
      </c>
      <c r="F91">
        <v>1</v>
      </c>
      <c r="G91">
        <v>30515945</v>
      </c>
      <c r="H91">
        <v>3</v>
      </c>
      <c r="I91" t="s">
        <v>188</v>
      </c>
      <c r="J91" t="s">
        <v>190</v>
      </c>
      <c r="K91" t="s">
        <v>189</v>
      </c>
      <c r="L91">
        <v>1348</v>
      </c>
      <c r="N91">
        <v>1009</v>
      </c>
      <c r="O91" t="s">
        <v>77</v>
      </c>
      <c r="P91" t="s">
        <v>77</v>
      </c>
      <c r="Q91">
        <v>1000</v>
      </c>
      <c r="W91">
        <v>0</v>
      </c>
      <c r="X91">
        <v>-1773934739</v>
      </c>
      <c r="Y91">
        <v>5.1500000000000001E-3</v>
      </c>
      <c r="AA91">
        <v>34234.51</v>
      </c>
      <c r="AB91">
        <v>0</v>
      </c>
      <c r="AC91">
        <v>0</v>
      </c>
      <c r="AD91">
        <v>0</v>
      </c>
      <c r="AE91">
        <v>11373.59</v>
      </c>
      <c r="AF91">
        <v>0</v>
      </c>
      <c r="AG91">
        <v>0</v>
      </c>
      <c r="AH91">
        <v>0</v>
      </c>
      <c r="AI91">
        <v>3.01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3</v>
      </c>
      <c r="AT91">
        <v>5.1500000000000001E-3</v>
      </c>
      <c r="AU91" t="s">
        <v>3</v>
      </c>
      <c r="AV91">
        <v>0</v>
      </c>
      <c r="AW91">
        <v>1</v>
      </c>
      <c r="AX91">
        <v>-1</v>
      </c>
      <c r="AY91">
        <v>0</v>
      </c>
      <c r="AZ91">
        <v>0</v>
      </c>
      <c r="BA91" t="s">
        <v>3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Y91*Source!I60</f>
        <v>1.5347E-2</v>
      </c>
      <c r="CY91">
        <f>AA91</f>
        <v>34234.51</v>
      </c>
      <c r="CZ91">
        <f>AE91</f>
        <v>11373.59</v>
      </c>
      <c r="DA91">
        <f>AI91</f>
        <v>3.01</v>
      </c>
      <c r="DB91">
        <f>ROUND(ROUND(AT91*CZ91,2),6)</f>
        <v>58.57</v>
      </c>
      <c r="DC91">
        <f>ROUND(ROUND(AT91*AG91,2),6)</f>
        <v>0</v>
      </c>
    </row>
    <row r="92" spans="1:107" x14ac:dyDescent="0.2">
      <c r="A92">
        <f>ROW(Source!A63)</f>
        <v>63</v>
      </c>
      <c r="B92">
        <v>44962055</v>
      </c>
      <c r="C92">
        <v>44964358</v>
      </c>
      <c r="D92">
        <v>30515951</v>
      </c>
      <c r="E92">
        <v>30515945</v>
      </c>
      <c r="F92">
        <v>1</v>
      </c>
      <c r="G92">
        <v>30515945</v>
      </c>
      <c r="H92">
        <v>1</v>
      </c>
      <c r="I92" t="s">
        <v>388</v>
      </c>
      <c r="J92" t="s">
        <v>3</v>
      </c>
      <c r="K92" t="s">
        <v>389</v>
      </c>
      <c r="L92">
        <v>1191</v>
      </c>
      <c r="N92">
        <v>1013</v>
      </c>
      <c r="O92" t="s">
        <v>390</v>
      </c>
      <c r="P92" t="s">
        <v>390</v>
      </c>
      <c r="Q92">
        <v>1</v>
      </c>
      <c r="W92">
        <v>0</v>
      </c>
      <c r="X92">
        <v>476480486</v>
      </c>
      <c r="Y92">
        <v>5.3475000000000001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S92" t="s">
        <v>3</v>
      </c>
      <c r="AT92">
        <v>4.6500000000000004</v>
      </c>
      <c r="AU92" t="s">
        <v>18</v>
      </c>
      <c r="AV92">
        <v>1</v>
      </c>
      <c r="AW92">
        <v>2</v>
      </c>
      <c r="AX92">
        <v>44964363</v>
      </c>
      <c r="AY92">
        <v>1</v>
      </c>
      <c r="AZ92">
        <v>0</v>
      </c>
      <c r="BA92">
        <v>89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Y92*Source!I63</f>
        <v>2.1390000000000002</v>
      </c>
      <c r="CY92">
        <f>AD92</f>
        <v>0</v>
      </c>
      <c r="CZ92">
        <f>AH92</f>
        <v>0</v>
      </c>
      <c r="DA92">
        <f>AL92</f>
        <v>1</v>
      </c>
      <c r="DB92">
        <f>ROUND((ROUND(AT92*CZ92,2)*1.15),6)</f>
        <v>0</v>
      </c>
      <c r="DC92">
        <f>ROUND((ROUND(AT92*AG92,2)*1.15),6)</f>
        <v>0</v>
      </c>
    </row>
    <row r="93" spans="1:107" x14ac:dyDescent="0.2">
      <c r="A93">
        <f>ROW(Source!A63)</f>
        <v>63</v>
      </c>
      <c r="B93">
        <v>44962055</v>
      </c>
      <c r="C93">
        <v>44964358</v>
      </c>
      <c r="D93">
        <v>30596074</v>
      </c>
      <c r="E93">
        <v>1</v>
      </c>
      <c r="F93">
        <v>1</v>
      </c>
      <c r="G93">
        <v>30515945</v>
      </c>
      <c r="H93">
        <v>2</v>
      </c>
      <c r="I93" t="s">
        <v>391</v>
      </c>
      <c r="J93" t="s">
        <v>392</v>
      </c>
      <c r="K93" t="s">
        <v>393</v>
      </c>
      <c r="L93">
        <v>1367</v>
      </c>
      <c r="N93">
        <v>1011</v>
      </c>
      <c r="O93" t="s">
        <v>394</v>
      </c>
      <c r="P93" t="s">
        <v>394</v>
      </c>
      <c r="Q93">
        <v>1</v>
      </c>
      <c r="W93">
        <v>0</v>
      </c>
      <c r="X93">
        <v>-628430174</v>
      </c>
      <c r="Y93">
        <v>1.2500000000000001E-2</v>
      </c>
      <c r="AA93">
        <v>0</v>
      </c>
      <c r="AB93">
        <v>628.27</v>
      </c>
      <c r="AC93">
        <v>300.27</v>
      </c>
      <c r="AD93">
        <v>0</v>
      </c>
      <c r="AE93">
        <v>0</v>
      </c>
      <c r="AF93">
        <v>76.81</v>
      </c>
      <c r="AG93">
        <v>14.36</v>
      </c>
      <c r="AH93">
        <v>0</v>
      </c>
      <c r="AI93">
        <v>1</v>
      </c>
      <c r="AJ93">
        <v>7.98</v>
      </c>
      <c r="AK93">
        <v>20.399999999999999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3</v>
      </c>
      <c r="AT93">
        <v>0.01</v>
      </c>
      <c r="AU93" t="s">
        <v>17</v>
      </c>
      <c r="AV93">
        <v>0</v>
      </c>
      <c r="AW93">
        <v>2</v>
      </c>
      <c r="AX93">
        <v>44964364</v>
      </c>
      <c r="AY93">
        <v>1</v>
      </c>
      <c r="AZ93">
        <v>0</v>
      </c>
      <c r="BA93">
        <v>90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Y93*Source!I63</f>
        <v>5.000000000000001E-3</v>
      </c>
      <c r="CY93">
        <f>AB93</f>
        <v>628.27</v>
      </c>
      <c r="CZ93">
        <f>AF93</f>
        <v>76.81</v>
      </c>
      <c r="DA93">
        <f>AJ93</f>
        <v>7.98</v>
      </c>
      <c r="DB93">
        <f>ROUND((ROUND(AT93*CZ93,2)*1.25),6)</f>
        <v>0.96250000000000002</v>
      </c>
      <c r="DC93">
        <f>ROUND((ROUND(AT93*AG93,2)*1.25),6)</f>
        <v>0.17499999999999999</v>
      </c>
    </row>
    <row r="94" spans="1:107" x14ac:dyDescent="0.2">
      <c r="A94">
        <f>ROW(Source!A63)</f>
        <v>63</v>
      </c>
      <c r="B94">
        <v>44962055</v>
      </c>
      <c r="C94">
        <v>44964358</v>
      </c>
      <c r="D94">
        <v>30596185</v>
      </c>
      <c r="E94">
        <v>1</v>
      </c>
      <c r="F94">
        <v>1</v>
      </c>
      <c r="G94">
        <v>30515945</v>
      </c>
      <c r="H94">
        <v>2</v>
      </c>
      <c r="I94" t="s">
        <v>435</v>
      </c>
      <c r="J94" t="s">
        <v>436</v>
      </c>
      <c r="K94" t="s">
        <v>437</v>
      </c>
      <c r="L94">
        <v>1367</v>
      </c>
      <c r="N94">
        <v>1011</v>
      </c>
      <c r="O94" t="s">
        <v>394</v>
      </c>
      <c r="P94" t="s">
        <v>394</v>
      </c>
      <c r="Q94">
        <v>1</v>
      </c>
      <c r="W94">
        <v>0</v>
      </c>
      <c r="X94">
        <v>-1279784445</v>
      </c>
      <c r="Y94">
        <v>3.7499999999999999E-2</v>
      </c>
      <c r="AA94">
        <v>0</v>
      </c>
      <c r="AB94">
        <v>9.2200000000000006</v>
      </c>
      <c r="AC94">
        <v>0.21</v>
      </c>
      <c r="AD94">
        <v>0</v>
      </c>
      <c r="AE94">
        <v>0</v>
      </c>
      <c r="AF94">
        <v>1.76</v>
      </c>
      <c r="AG94">
        <v>0.01</v>
      </c>
      <c r="AH94">
        <v>0</v>
      </c>
      <c r="AI94">
        <v>1</v>
      </c>
      <c r="AJ94">
        <v>5.1100000000000003</v>
      </c>
      <c r="AK94">
        <v>20.399999999999999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3</v>
      </c>
      <c r="AT94">
        <v>0.03</v>
      </c>
      <c r="AU94" t="s">
        <v>17</v>
      </c>
      <c r="AV94">
        <v>0</v>
      </c>
      <c r="AW94">
        <v>2</v>
      </c>
      <c r="AX94">
        <v>44964365</v>
      </c>
      <c r="AY94">
        <v>1</v>
      </c>
      <c r="AZ94">
        <v>0</v>
      </c>
      <c r="BA94">
        <v>91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Y94*Source!I63</f>
        <v>1.4999999999999999E-2</v>
      </c>
      <c r="CY94">
        <f>AB94</f>
        <v>9.2200000000000006</v>
      </c>
      <c r="CZ94">
        <f>AF94</f>
        <v>1.76</v>
      </c>
      <c r="DA94">
        <f>AJ94</f>
        <v>5.1100000000000003</v>
      </c>
      <c r="DB94">
        <f>ROUND((ROUND(AT94*CZ94,2)*1.25),6)</f>
        <v>6.25E-2</v>
      </c>
      <c r="DC94">
        <f>ROUND((ROUND(AT94*AG94,2)*1.25),6)</f>
        <v>0</v>
      </c>
    </row>
    <row r="95" spans="1:107" x14ac:dyDescent="0.2">
      <c r="A95">
        <f>ROW(Source!A63)</f>
        <v>63</v>
      </c>
      <c r="B95">
        <v>44962055</v>
      </c>
      <c r="C95">
        <v>44964358</v>
      </c>
      <c r="D95">
        <v>30573547</v>
      </c>
      <c r="E95">
        <v>1</v>
      </c>
      <c r="F95">
        <v>1</v>
      </c>
      <c r="G95">
        <v>30515945</v>
      </c>
      <c r="H95">
        <v>3</v>
      </c>
      <c r="I95" t="s">
        <v>64</v>
      </c>
      <c r="J95" t="s">
        <v>66</v>
      </c>
      <c r="K95" t="s">
        <v>65</v>
      </c>
      <c r="L95">
        <v>1346</v>
      </c>
      <c r="N95">
        <v>1009</v>
      </c>
      <c r="O95" t="s">
        <v>55</v>
      </c>
      <c r="P95" t="s">
        <v>55</v>
      </c>
      <c r="Q95">
        <v>1</v>
      </c>
      <c r="W95">
        <v>0</v>
      </c>
      <c r="X95">
        <v>33071459</v>
      </c>
      <c r="Y95">
        <v>10.3</v>
      </c>
      <c r="AA95">
        <v>34.49</v>
      </c>
      <c r="AB95">
        <v>0</v>
      </c>
      <c r="AC95">
        <v>0</v>
      </c>
      <c r="AD95">
        <v>0</v>
      </c>
      <c r="AE95">
        <v>28.98</v>
      </c>
      <c r="AF95">
        <v>0</v>
      </c>
      <c r="AG95">
        <v>0</v>
      </c>
      <c r="AH95">
        <v>0</v>
      </c>
      <c r="AI95">
        <v>1.19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3</v>
      </c>
      <c r="AT95">
        <v>10.3</v>
      </c>
      <c r="AU95" t="s">
        <v>3</v>
      </c>
      <c r="AV95">
        <v>0</v>
      </c>
      <c r="AW95">
        <v>1</v>
      </c>
      <c r="AX95">
        <v>-1</v>
      </c>
      <c r="AY95">
        <v>0</v>
      </c>
      <c r="AZ95">
        <v>0</v>
      </c>
      <c r="BA95" t="s">
        <v>3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Y95*Source!I63</f>
        <v>4.12</v>
      </c>
      <c r="CY95">
        <f>AA95</f>
        <v>34.49</v>
      </c>
      <c r="CZ95">
        <f>AE95</f>
        <v>28.98</v>
      </c>
      <c r="DA95">
        <f>AI95</f>
        <v>1.19</v>
      </c>
      <c r="DB95">
        <f>ROUND(ROUND(AT95*CZ95,2),6)</f>
        <v>298.49</v>
      </c>
      <c r="DC95">
        <f>ROUND(ROUND(AT95*AG95,2),6)</f>
        <v>0</v>
      </c>
    </row>
    <row r="96" spans="1:107" x14ac:dyDescent="0.2">
      <c r="A96">
        <f>ROW(Source!A65)</f>
        <v>65</v>
      </c>
      <c r="B96">
        <v>44962055</v>
      </c>
      <c r="C96">
        <v>44963657</v>
      </c>
      <c r="D96">
        <v>30515951</v>
      </c>
      <c r="E96">
        <v>30515945</v>
      </c>
      <c r="F96">
        <v>1</v>
      </c>
      <c r="G96">
        <v>30515945</v>
      </c>
      <c r="H96">
        <v>1</v>
      </c>
      <c r="I96" t="s">
        <v>388</v>
      </c>
      <c r="J96" t="s">
        <v>3</v>
      </c>
      <c r="K96" t="s">
        <v>389</v>
      </c>
      <c r="L96">
        <v>1191</v>
      </c>
      <c r="N96">
        <v>1013</v>
      </c>
      <c r="O96" t="s">
        <v>390</v>
      </c>
      <c r="P96" t="s">
        <v>390</v>
      </c>
      <c r="Q96">
        <v>1</v>
      </c>
      <c r="W96">
        <v>0</v>
      </c>
      <c r="X96">
        <v>476480486</v>
      </c>
      <c r="Y96">
        <v>96.691999999999993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3</v>
      </c>
      <c r="AT96">
        <v>84.08</v>
      </c>
      <c r="AU96" t="s">
        <v>18</v>
      </c>
      <c r="AV96">
        <v>1</v>
      </c>
      <c r="AW96">
        <v>2</v>
      </c>
      <c r="AX96">
        <v>44963667</v>
      </c>
      <c r="AY96">
        <v>1</v>
      </c>
      <c r="AZ96">
        <v>0</v>
      </c>
      <c r="BA96">
        <v>93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Y96*Source!I65</f>
        <v>38.6768</v>
      </c>
      <c r="CY96">
        <f>AD96</f>
        <v>0</v>
      </c>
      <c r="CZ96">
        <f>AH96</f>
        <v>0</v>
      </c>
      <c r="DA96">
        <f>AL96</f>
        <v>1</v>
      </c>
      <c r="DB96">
        <f>ROUND((ROUND(AT96*CZ96,2)*1.15),6)</f>
        <v>0</v>
      </c>
      <c r="DC96">
        <f>ROUND((ROUND(AT96*AG96,2)*1.15),6)</f>
        <v>0</v>
      </c>
    </row>
    <row r="97" spans="1:107" x14ac:dyDescent="0.2">
      <c r="A97">
        <f>ROW(Source!A65)</f>
        <v>65</v>
      </c>
      <c r="B97">
        <v>44962055</v>
      </c>
      <c r="C97">
        <v>44963657</v>
      </c>
      <c r="D97">
        <v>30596108</v>
      </c>
      <c r="E97">
        <v>1</v>
      </c>
      <c r="F97">
        <v>1</v>
      </c>
      <c r="G97">
        <v>30515945</v>
      </c>
      <c r="H97">
        <v>2</v>
      </c>
      <c r="I97" t="s">
        <v>488</v>
      </c>
      <c r="J97" t="s">
        <v>489</v>
      </c>
      <c r="K97" t="s">
        <v>490</v>
      </c>
      <c r="L97">
        <v>1367</v>
      </c>
      <c r="N97">
        <v>1011</v>
      </c>
      <c r="O97" t="s">
        <v>394</v>
      </c>
      <c r="P97" t="s">
        <v>394</v>
      </c>
      <c r="Q97">
        <v>1</v>
      </c>
      <c r="W97">
        <v>0</v>
      </c>
      <c r="X97">
        <v>950854334</v>
      </c>
      <c r="Y97">
        <v>33.862499999999997</v>
      </c>
      <c r="AA97">
        <v>0</v>
      </c>
      <c r="AB97">
        <v>26.81</v>
      </c>
      <c r="AC97">
        <v>2.14</v>
      </c>
      <c r="AD97">
        <v>0</v>
      </c>
      <c r="AE97">
        <v>0</v>
      </c>
      <c r="AF97">
        <v>2.36</v>
      </c>
      <c r="AG97">
        <v>0.1</v>
      </c>
      <c r="AH97">
        <v>0</v>
      </c>
      <c r="AI97">
        <v>1</v>
      </c>
      <c r="AJ97">
        <v>10.85</v>
      </c>
      <c r="AK97">
        <v>20.399999999999999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S97" t="s">
        <v>3</v>
      </c>
      <c r="AT97">
        <v>27.09</v>
      </c>
      <c r="AU97" t="s">
        <v>17</v>
      </c>
      <c r="AV97">
        <v>0</v>
      </c>
      <c r="AW97">
        <v>2</v>
      </c>
      <c r="AX97">
        <v>44963668</v>
      </c>
      <c r="AY97">
        <v>1</v>
      </c>
      <c r="AZ97">
        <v>0</v>
      </c>
      <c r="BA97">
        <v>94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Y97*Source!I65</f>
        <v>13.545</v>
      </c>
      <c r="CY97">
        <f>AB97</f>
        <v>26.81</v>
      </c>
      <c r="CZ97">
        <f>AF97</f>
        <v>2.36</v>
      </c>
      <c r="DA97">
        <f>AJ97</f>
        <v>10.85</v>
      </c>
      <c r="DB97">
        <f>ROUND((ROUND(AT97*CZ97,2)*1.25),6)</f>
        <v>79.912499999999994</v>
      </c>
      <c r="DC97">
        <f>ROUND((ROUND(AT97*AG97,2)*1.25),6)</f>
        <v>3.3875000000000002</v>
      </c>
    </row>
    <row r="98" spans="1:107" x14ac:dyDescent="0.2">
      <c r="A98">
        <f>ROW(Source!A65)</f>
        <v>65</v>
      </c>
      <c r="B98">
        <v>44962055</v>
      </c>
      <c r="C98">
        <v>44963657</v>
      </c>
      <c r="D98">
        <v>30596170</v>
      </c>
      <c r="E98">
        <v>1</v>
      </c>
      <c r="F98">
        <v>1</v>
      </c>
      <c r="G98">
        <v>30515945</v>
      </c>
      <c r="H98">
        <v>2</v>
      </c>
      <c r="I98" t="s">
        <v>491</v>
      </c>
      <c r="J98" t="s">
        <v>492</v>
      </c>
      <c r="K98" t="s">
        <v>493</v>
      </c>
      <c r="L98">
        <v>1367</v>
      </c>
      <c r="N98">
        <v>1011</v>
      </c>
      <c r="O98" t="s">
        <v>394</v>
      </c>
      <c r="P98" t="s">
        <v>394</v>
      </c>
      <c r="Q98">
        <v>1</v>
      </c>
      <c r="W98">
        <v>0</v>
      </c>
      <c r="X98">
        <v>-1931009994</v>
      </c>
      <c r="Y98">
        <v>0.38750000000000001</v>
      </c>
      <c r="AA98">
        <v>0</v>
      </c>
      <c r="AB98">
        <v>428.84</v>
      </c>
      <c r="AC98">
        <v>318.02999999999997</v>
      </c>
      <c r="AD98">
        <v>0</v>
      </c>
      <c r="AE98">
        <v>0</v>
      </c>
      <c r="AF98">
        <v>31.85</v>
      </c>
      <c r="AG98">
        <v>14.89</v>
      </c>
      <c r="AH98">
        <v>0</v>
      </c>
      <c r="AI98">
        <v>1</v>
      </c>
      <c r="AJ98">
        <v>12.86</v>
      </c>
      <c r="AK98">
        <v>20.399999999999999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S98" t="s">
        <v>3</v>
      </c>
      <c r="AT98">
        <v>0.31</v>
      </c>
      <c r="AU98" t="s">
        <v>17</v>
      </c>
      <c r="AV98">
        <v>0</v>
      </c>
      <c r="AW98">
        <v>2</v>
      </c>
      <c r="AX98">
        <v>44963669</v>
      </c>
      <c r="AY98">
        <v>1</v>
      </c>
      <c r="AZ98">
        <v>0</v>
      </c>
      <c r="BA98">
        <v>95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Y98*Source!I65</f>
        <v>0.15500000000000003</v>
      </c>
      <c r="CY98">
        <f>AB98</f>
        <v>428.84</v>
      </c>
      <c r="CZ98">
        <f>AF98</f>
        <v>31.85</v>
      </c>
      <c r="DA98">
        <f>AJ98</f>
        <v>12.86</v>
      </c>
      <c r="DB98">
        <f>ROUND((ROUND(AT98*CZ98,2)*1.25),6)</f>
        <v>12.3375</v>
      </c>
      <c r="DC98">
        <f>ROUND((ROUND(AT98*AG98,2)*1.25),6)</f>
        <v>5.7750000000000004</v>
      </c>
    </row>
    <row r="99" spans="1:107" x14ac:dyDescent="0.2">
      <c r="A99">
        <f>ROW(Source!A65)</f>
        <v>65</v>
      </c>
      <c r="B99">
        <v>44962055</v>
      </c>
      <c r="C99">
        <v>44963657</v>
      </c>
      <c r="D99">
        <v>30516999</v>
      </c>
      <c r="E99">
        <v>30515945</v>
      </c>
      <c r="F99">
        <v>1</v>
      </c>
      <c r="G99">
        <v>30515945</v>
      </c>
      <c r="H99">
        <v>2</v>
      </c>
      <c r="I99" t="s">
        <v>438</v>
      </c>
      <c r="J99" t="s">
        <v>3</v>
      </c>
      <c r="K99" t="s">
        <v>439</v>
      </c>
      <c r="L99">
        <v>1344</v>
      </c>
      <c r="N99">
        <v>1008</v>
      </c>
      <c r="O99" t="s">
        <v>440</v>
      </c>
      <c r="P99" t="s">
        <v>440</v>
      </c>
      <c r="Q99">
        <v>1</v>
      </c>
      <c r="W99">
        <v>0</v>
      </c>
      <c r="X99">
        <v>-1180195794</v>
      </c>
      <c r="Y99">
        <v>32.450000000000003</v>
      </c>
      <c r="AA99">
        <v>0</v>
      </c>
      <c r="AB99">
        <v>1.05</v>
      </c>
      <c r="AC99">
        <v>0</v>
      </c>
      <c r="AD99">
        <v>0</v>
      </c>
      <c r="AE99">
        <v>0</v>
      </c>
      <c r="AF99">
        <v>1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S99" t="s">
        <v>3</v>
      </c>
      <c r="AT99">
        <v>25.96</v>
      </c>
      <c r="AU99" t="s">
        <v>17</v>
      </c>
      <c r="AV99">
        <v>0</v>
      </c>
      <c r="AW99">
        <v>2</v>
      </c>
      <c r="AX99">
        <v>44963670</v>
      </c>
      <c r="AY99">
        <v>1</v>
      </c>
      <c r="AZ99">
        <v>0</v>
      </c>
      <c r="BA99">
        <v>96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Y99*Source!I65</f>
        <v>12.980000000000002</v>
      </c>
      <c r="CY99">
        <f>AB99</f>
        <v>1.05</v>
      </c>
      <c r="CZ99">
        <f>AF99</f>
        <v>1</v>
      </c>
      <c r="DA99">
        <f>AJ99</f>
        <v>1</v>
      </c>
      <c r="DB99">
        <f>ROUND((ROUND(AT99*CZ99,2)*1.25),6)</f>
        <v>32.450000000000003</v>
      </c>
      <c r="DC99">
        <f>ROUND((ROUND(AT99*AG99,2)*1.25),6)</f>
        <v>0</v>
      </c>
    </row>
    <row r="100" spans="1:107" x14ac:dyDescent="0.2">
      <c r="A100">
        <f>ROW(Source!A65)</f>
        <v>65</v>
      </c>
      <c r="B100">
        <v>44962055</v>
      </c>
      <c r="C100">
        <v>44963657</v>
      </c>
      <c r="D100">
        <v>30571181</v>
      </c>
      <c r="E100">
        <v>1</v>
      </c>
      <c r="F100">
        <v>1</v>
      </c>
      <c r="G100">
        <v>30515945</v>
      </c>
      <c r="H100">
        <v>3</v>
      </c>
      <c r="I100" t="s">
        <v>441</v>
      </c>
      <c r="J100" t="s">
        <v>442</v>
      </c>
      <c r="K100" t="s">
        <v>443</v>
      </c>
      <c r="L100">
        <v>1339</v>
      </c>
      <c r="N100">
        <v>1007</v>
      </c>
      <c r="O100" t="s">
        <v>140</v>
      </c>
      <c r="P100" t="s">
        <v>140</v>
      </c>
      <c r="Q100">
        <v>1</v>
      </c>
      <c r="W100">
        <v>0</v>
      </c>
      <c r="X100">
        <v>-862991314</v>
      </c>
      <c r="Y100">
        <v>0.13300000000000001</v>
      </c>
      <c r="AA100">
        <v>29.98</v>
      </c>
      <c r="AB100">
        <v>0</v>
      </c>
      <c r="AC100">
        <v>0</v>
      </c>
      <c r="AD100">
        <v>0</v>
      </c>
      <c r="AE100">
        <v>7.07</v>
      </c>
      <c r="AF100">
        <v>0</v>
      </c>
      <c r="AG100">
        <v>0</v>
      </c>
      <c r="AH100">
        <v>0</v>
      </c>
      <c r="AI100">
        <v>4.24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0.13300000000000001</v>
      </c>
      <c r="AU100" t="s">
        <v>3</v>
      </c>
      <c r="AV100">
        <v>0</v>
      </c>
      <c r="AW100">
        <v>2</v>
      </c>
      <c r="AX100">
        <v>44963671</v>
      </c>
      <c r="AY100">
        <v>1</v>
      </c>
      <c r="AZ100">
        <v>0</v>
      </c>
      <c r="BA100">
        <v>97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Y100*Source!I65</f>
        <v>5.3200000000000004E-2</v>
      </c>
      <c r="CY100">
        <f>AA100</f>
        <v>29.98</v>
      </c>
      <c r="CZ100">
        <f>AE100</f>
        <v>7.07</v>
      </c>
      <c r="DA100">
        <f>AI100</f>
        <v>4.24</v>
      </c>
      <c r="DB100">
        <f>ROUND(ROUND(AT100*CZ100,2),6)</f>
        <v>0.94</v>
      </c>
      <c r="DC100">
        <f>ROUND(ROUND(AT100*AG100,2),6)</f>
        <v>0</v>
      </c>
    </row>
    <row r="101" spans="1:107" x14ac:dyDescent="0.2">
      <c r="A101">
        <f>ROW(Source!A65)</f>
        <v>65</v>
      </c>
      <c r="B101">
        <v>44962055</v>
      </c>
      <c r="C101">
        <v>44963657</v>
      </c>
      <c r="D101">
        <v>30573294</v>
      </c>
      <c r="E101">
        <v>1</v>
      </c>
      <c r="F101">
        <v>1</v>
      </c>
      <c r="G101">
        <v>30515945</v>
      </c>
      <c r="H101">
        <v>3</v>
      </c>
      <c r="I101" t="s">
        <v>494</v>
      </c>
      <c r="J101" t="s">
        <v>495</v>
      </c>
      <c r="K101" t="s">
        <v>496</v>
      </c>
      <c r="L101">
        <v>1348</v>
      </c>
      <c r="N101">
        <v>1009</v>
      </c>
      <c r="O101" t="s">
        <v>77</v>
      </c>
      <c r="P101" t="s">
        <v>77</v>
      </c>
      <c r="Q101">
        <v>1000</v>
      </c>
      <c r="W101">
        <v>0</v>
      </c>
      <c r="X101">
        <v>353027985</v>
      </c>
      <c r="Y101">
        <v>0.01</v>
      </c>
      <c r="AA101">
        <v>104825.48</v>
      </c>
      <c r="AB101">
        <v>0</v>
      </c>
      <c r="AC101">
        <v>0</v>
      </c>
      <c r="AD101">
        <v>0</v>
      </c>
      <c r="AE101">
        <v>69883.649999999994</v>
      </c>
      <c r="AF101">
        <v>0</v>
      </c>
      <c r="AG101">
        <v>0</v>
      </c>
      <c r="AH101">
        <v>0</v>
      </c>
      <c r="AI101">
        <v>1.5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0.01</v>
      </c>
      <c r="AU101" t="s">
        <v>3</v>
      </c>
      <c r="AV101">
        <v>0</v>
      </c>
      <c r="AW101">
        <v>2</v>
      </c>
      <c r="AX101">
        <v>44963672</v>
      </c>
      <c r="AY101">
        <v>1</v>
      </c>
      <c r="AZ101">
        <v>0</v>
      </c>
      <c r="BA101">
        <v>98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Y101*Source!I65</f>
        <v>4.0000000000000001E-3</v>
      </c>
      <c r="CY101">
        <f>AA101</f>
        <v>104825.48</v>
      </c>
      <c r="CZ101">
        <f>AE101</f>
        <v>69883.649999999994</v>
      </c>
      <c r="DA101">
        <f>AI101</f>
        <v>1.5</v>
      </c>
      <c r="DB101">
        <f>ROUND(ROUND(AT101*CZ101,2),6)</f>
        <v>698.84</v>
      </c>
      <c r="DC101">
        <f>ROUND(ROUND(AT101*AG101,2),6)</f>
        <v>0</v>
      </c>
    </row>
    <row r="102" spans="1:107" x14ac:dyDescent="0.2">
      <c r="A102">
        <f>ROW(Source!A65)</f>
        <v>65</v>
      </c>
      <c r="B102">
        <v>44962055</v>
      </c>
      <c r="C102">
        <v>44963657</v>
      </c>
      <c r="D102">
        <v>30573907</v>
      </c>
      <c r="E102">
        <v>1</v>
      </c>
      <c r="F102">
        <v>1</v>
      </c>
      <c r="G102">
        <v>30515945</v>
      </c>
      <c r="H102">
        <v>3</v>
      </c>
      <c r="I102" t="s">
        <v>214</v>
      </c>
      <c r="J102" t="s">
        <v>216</v>
      </c>
      <c r="K102" t="s">
        <v>215</v>
      </c>
      <c r="L102">
        <v>1327</v>
      </c>
      <c r="N102">
        <v>1005</v>
      </c>
      <c r="O102" t="s">
        <v>36</v>
      </c>
      <c r="P102" t="s">
        <v>36</v>
      </c>
      <c r="Q102">
        <v>1</v>
      </c>
      <c r="W102">
        <v>0</v>
      </c>
      <c r="X102">
        <v>1090211801</v>
      </c>
      <c r="Y102">
        <v>102</v>
      </c>
      <c r="AA102">
        <v>622.28</v>
      </c>
      <c r="AB102">
        <v>0</v>
      </c>
      <c r="AC102">
        <v>0</v>
      </c>
      <c r="AD102">
        <v>0</v>
      </c>
      <c r="AE102">
        <v>198.81</v>
      </c>
      <c r="AF102">
        <v>0</v>
      </c>
      <c r="AG102">
        <v>0</v>
      </c>
      <c r="AH102">
        <v>0</v>
      </c>
      <c r="AI102">
        <v>3.13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 t="s">
        <v>3</v>
      </c>
      <c r="AT102">
        <v>102</v>
      </c>
      <c r="AU102" t="s">
        <v>3</v>
      </c>
      <c r="AV102">
        <v>0</v>
      </c>
      <c r="AW102">
        <v>1</v>
      </c>
      <c r="AX102">
        <v>-1</v>
      </c>
      <c r="AY102">
        <v>0</v>
      </c>
      <c r="AZ102">
        <v>0</v>
      </c>
      <c r="BA102" t="s">
        <v>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Y102*Source!I65</f>
        <v>40.800000000000004</v>
      </c>
      <c r="CY102">
        <f>AA102</f>
        <v>622.28</v>
      </c>
      <c r="CZ102">
        <f>AE102</f>
        <v>198.81</v>
      </c>
      <c r="DA102">
        <f>AI102</f>
        <v>3.13</v>
      </c>
      <c r="DB102">
        <f>ROUND(ROUND(AT102*CZ102,2),6)</f>
        <v>20278.62</v>
      </c>
      <c r="DC102">
        <f>ROUND(ROUND(AT102*AG102,2),6)</f>
        <v>0</v>
      </c>
    </row>
    <row r="103" spans="1:107" x14ac:dyDescent="0.2">
      <c r="A103">
        <f>ROW(Source!A65)</f>
        <v>65</v>
      </c>
      <c r="B103">
        <v>44962055</v>
      </c>
      <c r="C103">
        <v>44963657</v>
      </c>
      <c r="D103">
        <v>30589787</v>
      </c>
      <c r="E103">
        <v>1</v>
      </c>
      <c r="F103">
        <v>1</v>
      </c>
      <c r="G103">
        <v>30515945</v>
      </c>
      <c r="H103">
        <v>3</v>
      </c>
      <c r="I103" t="s">
        <v>206</v>
      </c>
      <c r="J103" t="s">
        <v>208</v>
      </c>
      <c r="K103" t="s">
        <v>207</v>
      </c>
      <c r="L103">
        <v>1348</v>
      </c>
      <c r="N103">
        <v>1009</v>
      </c>
      <c r="O103" t="s">
        <v>77</v>
      </c>
      <c r="P103" t="s">
        <v>77</v>
      </c>
      <c r="Q103">
        <v>1000</v>
      </c>
      <c r="W103">
        <v>0</v>
      </c>
      <c r="X103">
        <v>1389983172</v>
      </c>
      <c r="Y103">
        <v>0</v>
      </c>
      <c r="AA103">
        <v>25994.54</v>
      </c>
      <c r="AB103">
        <v>0</v>
      </c>
      <c r="AC103">
        <v>0</v>
      </c>
      <c r="AD103">
        <v>0</v>
      </c>
      <c r="AE103">
        <v>27362.67</v>
      </c>
      <c r="AF103">
        <v>0</v>
      </c>
      <c r="AG103">
        <v>0</v>
      </c>
      <c r="AH103">
        <v>0</v>
      </c>
      <c r="AI103">
        <v>0.95</v>
      </c>
      <c r="AJ103">
        <v>1</v>
      </c>
      <c r="AK103">
        <v>1</v>
      </c>
      <c r="AL103">
        <v>1</v>
      </c>
      <c r="AN103">
        <v>0</v>
      </c>
      <c r="AO103">
        <v>0</v>
      </c>
      <c r="AP103">
        <v>0</v>
      </c>
      <c r="AQ103">
        <v>0</v>
      </c>
      <c r="AR103">
        <v>0</v>
      </c>
      <c r="AS103" t="s">
        <v>3</v>
      </c>
      <c r="AT103">
        <v>0</v>
      </c>
      <c r="AU103" t="s">
        <v>3</v>
      </c>
      <c r="AV103">
        <v>0</v>
      </c>
      <c r="AW103">
        <v>1</v>
      </c>
      <c r="AX103">
        <v>-1</v>
      </c>
      <c r="AY103">
        <v>0</v>
      </c>
      <c r="AZ103">
        <v>0</v>
      </c>
      <c r="BA103" t="s">
        <v>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Y103*Source!I65</f>
        <v>0</v>
      </c>
      <c r="CY103">
        <f>AA103</f>
        <v>25994.54</v>
      </c>
      <c r="CZ103">
        <f>AE103</f>
        <v>27362.67</v>
      </c>
      <c r="DA103">
        <f>AI103</f>
        <v>0.95</v>
      </c>
      <c r="DB103">
        <f>ROUND(ROUND(AT103*CZ103,2),6)</f>
        <v>0</v>
      </c>
      <c r="DC103">
        <f>ROUND(ROUND(AT103*AG103,2),6)</f>
        <v>0</v>
      </c>
    </row>
    <row r="104" spans="1:107" x14ac:dyDescent="0.2">
      <c r="A104">
        <f>ROW(Source!A65)</f>
        <v>65</v>
      </c>
      <c r="B104">
        <v>44962055</v>
      </c>
      <c r="C104">
        <v>44963657</v>
      </c>
      <c r="D104">
        <v>30589720</v>
      </c>
      <c r="E104">
        <v>1</v>
      </c>
      <c r="F104">
        <v>1</v>
      </c>
      <c r="G104">
        <v>30515945</v>
      </c>
      <c r="H104">
        <v>3</v>
      </c>
      <c r="I104" t="s">
        <v>210</v>
      </c>
      <c r="J104" t="s">
        <v>212</v>
      </c>
      <c r="K104" t="s">
        <v>211</v>
      </c>
      <c r="L104">
        <v>1348</v>
      </c>
      <c r="N104">
        <v>1009</v>
      </c>
      <c r="O104" t="s">
        <v>77</v>
      </c>
      <c r="P104" t="s">
        <v>77</v>
      </c>
      <c r="Q104">
        <v>1000</v>
      </c>
      <c r="W104">
        <v>0</v>
      </c>
      <c r="X104">
        <v>-295233466</v>
      </c>
      <c r="Y104">
        <v>0.47</v>
      </c>
      <c r="AA104">
        <v>8102.61</v>
      </c>
      <c r="AB104">
        <v>0</v>
      </c>
      <c r="AC104">
        <v>0</v>
      </c>
      <c r="AD104">
        <v>0</v>
      </c>
      <c r="AE104">
        <v>1677.56</v>
      </c>
      <c r="AF104">
        <v>0</v>
      </c>
      <c r="AG104">
        <v>0</v>
      </c>
      <c r="AH104">
        <v>0</v>
      </c>
      <c r="AI104">
        <v>4.83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S104" t="s">
        <v>3</v>
      </c>
      <c r="AT104">
        <v>0.47</v>
      </c>
      <c r="AU104" t="s">
        <v>3</v>
      </c>
      <c r="AV104">
        <v>0</v>
      </c>
      <c r="AW104">
        <v>1</v>
      </c>
      <c r="AX104">
        <v>-1</v>
      </c>
      <c r="AY104">
        <v>0</v>
      </c>
      <c r="AZ104">
        <v>0</v>
      </c>
      <c r="BA104" t="s">
        <v>3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Y104*Source!I65</f>
        <v>0.188</v>
      </c>
      <c r="CY104">
        <f>AA104</f>
        <v>8102.61</v>
      </c>
      <c r="CZ104">
        <f>AE104</f>
        <v>1677.56</v>
      </c>
      <c r="DA104">
        <f>AI104</f>
        <v>4.83</v>
      </c>
      <c r="DB104">
        <f>ROUND(ROUND(AT104*CZ104,2),6)</f>
        <v>788.45</v>
      </c>
      <c r="DC104">
        <f>ROUND(ROUND(AT104*AG104,2),6)</f>
        <v>0</v>
      </c>
    </row>
    <row r="105" spans="1:107" x14ac:dyDescent="0.2">
      <c r="A105">
        <f>ROW(Source!A69)</f>
        <v>69</v>
      </c>
      <c r="B105">
        <v>44962055</v>
      </c>
      <c r="C105">
        <v>44964348</v>
      </c>
      <c r="D105">
        <v>30515951</v>
      </c>
      <c r="E105">
        <v>30515945</v>
      </c>
      <c r="F105">
        <v>1</v>
      </c>
      <c r="G105">
        <v>30515945</v>
      </c>
      <c r="H105">
        <v>1</v>
      </c>
      <c r="I105" t="s">
        <v>388</v>
      </c>
      <c r="J105" t="s">
        <v>3</v>
      </c>
      <c r="K105" t="s">
        <v>389</v>
      </c>
      <c r="L105">
        <v>1191</v>
      </c>
      <c r="N105">
        <v>1013</v>
      </c>
      <c r="O105" t="s">
        <v>390</v>
      </c>
      <c r="P105" t="s">
        <v>390</v>
      </c>
      <c r="Q105">
        <v>1</v>
      </c>
      <c r="W105">
        <v>0</v>
      </c>
      <c r="X105">
        <v>476480486</v>
      </c>
      <c r="Y105">
        <v>5.3475000000000001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3</v>
      </c>
      <c r="AT105">
        <v>4.6500000000000004</v>
      </c>
      <c r="AU105" t="s">
        <v>18</v>
      </c>
      <c r="AV105">
        <v>1</v>
      </c>
      <c r="AW105">
        <v>2</v>
      </c>
      <c r="AX105">
        <v>44964353</v>
      </c>
      <c r="AY105">
        <v>1</v>
      </c>
      <c r="AZ105">
        <v>0</v>
      </c>
      <c r="BA105">
        <v>102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Y105*Source!I69</f>
        <v>11.01585</v>
      </c>
      <c r="CY105">
        <f>AD105</f>
        <v>0</v>
      </c>
      <c r="CZ105">
        <f>AH105</f>
        <v>0</v>
      </c>
      <c r="DA105">
        <f>AL105</f>
        <v>1</v>
      </c>
      <c r="DB105">
        <f>ROUND((ROUND(AT105*CZ105,2)*1.15),6)</f>
        <v>0</v>
      </c>
      <c r="DC105">
        <f>ROUND((ROUND(AT105*AG105,2)*1.15),6)</f>
        <v>0</v>
      </c>
    </row>
    <row r="106" spans="1:107" x14ac:dyDescent="0.2">
      <c r="A106">
        <f>ROW(Source!A69)</f>
        <v>69</v>
      </c>
      <c r="B106">
        <v>44962055</v>
      </c>
      <c r="C106">
        <v>44964348</v>
      </c>
      <c r="D106">
        <v>30596074</v>
      </c>
      <c r="E106">
        <v>1</v>
      </c>
      <c r="F106">
        <v>1</v>
      </c>
      <c r="G106">
        <v>30515945</v>
      </c>
      <c r="H106">
        <v>2</v>
      </c>
      <c r="I106" t="s">
        <v>391</v>
      </c>
      <c r="J106" t="s">
        <v>392</v>
      </c>
      <c r="K106" t="s">
        <v>393</v>
      </c>
      <c r="L106">
        <v>1367</v>
      </c>
      <c r="N106">
        <v>1011</v>
      </c>
      <c r="O106" t="s">
        <v>394</v>
      </c>
      <c r="P106" t="s">
        <v>394</v>
      </c>
      <c r="Q106">
        <v>1</v>
      </c>
      <c r="W106">
        <v>0</v>
      </c>
      <c r="X106">
        <v>-628430174</v>
      </c>
      <c r="Y106">
        <v>1.2500000000000001E-2</v>
      </c>
      <c r="AA106">
        <v>0</v>
      </c>
      <c r="AB106">
        <v>628.27</v>
      </c>
      <c r="AC106">
        <v>300.27</v>
      </c>
      <c r="AD106">
        <v>0</v>
      </c>
      <c r="AE106">
        <v>0</v>
      </c>
      <c r="AF106">
        <v>76.81</v>
      </c>
      <c r="AG106">
        <v>14.36</v>
      </c>
      <c r="AH106">
        <v>0</v>
      </c>
      <c r="AI106">
        <v>1</v>
      </c>
      <c r="AJ106">
        <v>7.98</v>
      </c>
      <c r="AK106">
        <v>20.399999999999999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S106" t="s">
        <v>3</v>
      </c>
      <c r="AT106">
        <v>0.01</v>
      </c>
      <c r="AU106" t="s">
        <v>17</v>
      </c>
      <c r="AV106">
        <v>0</v>
      </c>
      <c r="AW106">
        <v>2</v>
      </c>
      <c r="AX106">
        <v>44964354</v>
      </c>
      <c r="AY106">
        <v>1</v>
      </c>
      <c r="AZ106">
        <v>0</v>
      </c>
      <c r="BA106">
        <v>103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Y106*Source!I69</f>
        <v>2.5750000000000002E-2</v>
      </c>
      <c r="CY106">
        <f>AB106</f>
        <v>628.27</v>
      </c>
      <c r="CZ106">
        <f>AF106</f>
        <v>76.81</v>
      </c>
      <c r="DA106">
        <f>AJ106</f>
        <v>7.98</v>
      </c>
      <c r="DB106">
        <f>ROUND((ROUND(AT106*CZ106,2)*1.25),6)</f>
        <v>0.96250000000000002</v>
      </c>
      <c r="DC106">
        <f>ROUND((ROUND(AT106*AG106,2)*1.25),6)</f>
        <v>0.17499999999999999</v>
      </c>
    </row>
    <row r="107" spans="1:107" x14ac:dyDescent="0.2">
      <c r="A107">
        <f>ROW(Source!A69)</f>
        <v>69</v>
      </c>
      <c r="B107">
        <v>44962055</v>
      </c>
      <c r="C107">
        <v>44964348</v>
      </c>
      <c r="D107">
        <v>30596185</v>
      </c>
      <c r="E107">
        <v>1</v>
      </c>
      <c r="F107">
        <v>1</v>
      </c>
      <c r="G107">
        <v>30515945</v>
      </c>
      <c r="H107">
        <v>2</v>
      </c>
      <c r="I107" t="s">
        <v>435</v>
      </c>
      <c r="J107" t="s">
        <v>436</v>
      </c>
      <c r="K107" t="s">
        <v>437</v>
      </c>
      <c r="L107">
        <v>1367</v>
      </c>
      <c r="N107">
        <v>1011</v>
      </c>
      <c r="O107" t="s">
        <v>394</v>
      </c>
      <c r="P107" t="s">
        <v>394</v>
      </c>
      <c r="Q107">
        <v>1</v>
      </c>
      <c r="W107">
        <v>0</v>
      </c>
      <c r="X107">
        <v>-1279784445</v>
      </c>
      <c r="Y107">
        <v>3.7499999999999999E-2</v>
      </c>
      <c r="AA107">
        <v>0</v>
      </c>
      <c r="AB107">
        <v>9.2200000000000006</v>
      </c>
      <c r="AC107">
        <v>0.21</v>
      </c>
      <c r="AD107">
        <v>0</v>
      </c>
      <c r="AE107">
        <v>0</v>
      </c>
      <c r="AF107">
        <v>1.76</v>
      </c>
      <c r="AG107">
        <v>0.01</v>
      </c>
      <c r="AH107">
        <v>0</v>
      </c>
      <c r="AI107">
        <v>1</v>
      </c>
      <c r="AJ107">
        <v>5.1100000000000003</v>
      </c>
      <c r="AK107">
        <v>20.399999999999999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3</v>
      </c>
      <c r="AT107">
        <v>0.03</v>
      </c>
      <c r="AU107" t="s">
        <v>17</v>
      </c>
      <c r="AV107">
        <v>0</v>
      </c>
      <c r="AW107">
        <v>2</v>
      </c>
      <c r="AX107">
        <v>44964355</v>
      </c>
      <c r="AY107">
        <v>1</v>
      </c>
      <c r="AZ107">
        <v>0</v>
      </c>
      <c r="BA107">
        <v>104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Y107*Source!I69</f>
        <v>7.7249999999999999E-2</v>
      </c>
      <c r="CY107">
        <f>AB107</f>
        <v>9.2200000000000006</v>
      </c>
      <c r="CZ107">
        <f>AF107</f>
        <v>1.76</v>
      </c>
      <c r="DA107">
        <f>AJ107</f>
        <v>5.1100000000000003</v>
      </c>
      <c r="DB107">
        <f>ROUND((ROUND(AT107*CZ107,2)*1.25),6)</f>
        <v>6.25E-2</v>
      </c>
      <c r="DC107">
        <f>ROUND((ROUND(AT107*AG107,2)*1.25),6)</f>
        <v>0</v>
      </c>
    </row>
    <row r="108" spans="1:107" x14ac:dyDescent="0.2">
      <c r="A108">
        <f>ROW(Source!A69)</f>
        <v>69</v>
      </c>
      <c r="B108">
        <v>44962055</v>
      </c>
      <c r="C108">
        <v>44964348</v>
      </c>
      <c r="D108">
        <v>30573547</v>
      </c>
      <c r="E108">
        <v>1</v>
      </c>
      <c r="F108">
        <v>1</v>
      </c>
      <c r="G108">
        <v>30515945</v>
      </c>
      <c r="H108">
        <v>3</v>
      </c>
      <c r="I108" t="s">
        <v>64</v>
      </c>
      <c r="J108" t="s">
        <v>66</v>
      </c>
      <c r="K108" t="s">
        <v>65</v>
      </c>
      <c r="L108">
        <v>1346</v>
      </c>
      <c r="N108">
        <v>1009</v>
      </c>
      <c r="O108" t="s">
        <v>55</v>
      </c>
      <c r="P108" t="s">
        <v>55</v>
      </c>
      <c r="Q108">
        <v>1</v>
      </c>
      <c r="W108">
        <v>0</v>
      </c>
      <c r="X108">
        <v>33071459</v>
      </c>
      <c r="Y108">
        <v>10.3</v>
      </c>
      <c r="AA108">
        <v>34.49</v>
      </c>
      <c r="AB108">
        <v>0</v>
      </c>
      <c r="AC108">
        <v>0</v>
      </c>
      <c r="AD108">
        <v>0</v>
      </c>
      <c r="AE108">
        <v>28.98</v>
      </c>
      <c r="AF108">
        <v>0</v>
      </c>
      <c r="AG108">
        <v>0</v>
      </c>
      <c r="AH108">
        <v>0</v>
      </c>
      <c r="AI108">
        <v>1.19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3</v>
      </c>
      <c r="AT108">
        <v>10.3</v>
      </c>
      <c r="AU108" t="s">
        <v>3</v>
      </c>
      <c r="AV108">
        <v>0</v>
      </c>
      <c r="AW108">
        <v>1</v>
      </c>
      <c r="AX108">
        <v>-1</v>
      </c>
      <c r="AY108">
        <v>0</v>
      </c>
      <c r="AZ108">
        <v>0</v>
      </c>
      <c r="BA108" t="s">
        <v>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Y108*Source!I69</f>
        <v>21.218000000000004</v>
      </c>
      <c r="CY108">
        <f>AA108</f>
        <v>34.49</v>
      </c>
      <c r="CZ108">
        <f>AE108</f>
        <v>28.98</v>
      </c>
      <c r="DA108">
        <f>AI108</f>
        <v>1.19</v>
      </c>
      <c r="DB108">
        <f>ROUND(ROUND(AT108*CZ108,2),6)</f>
        <v>298.49</v>
      </c>
      <c r="DC108">
        <f>ROUND(ROUND(AT108*AG108,2),6)</f>
        <v>0</v>
      </c>
    </row>
    <row r="109" spans="1:107" x14ac:dyDescent="0.2">
      <c r="A109">
        <f>ROW(Source!A71)</f>
        <v>71</v>
      </c>
      <c r="B109">
        <v>44962055</v>
      </c>
      <c r="C109">
        <v>44964312</v>
      </c>
      <c r="D109">
        <v>30515951</v>
      </c>
      <c r="E109">
        <v>30515945</v>
      </c>
      <c r="F109">
        <v>1</v>
      </c>
      <c r="G109">
        <v>30515945</v>
      </c>
      <c r="H109">
        <v>1</v>
      </c>
      <c r="I109" t="s">
        <v>388</v>
      </c>
      <c r="J109" t="s">
        <v>3</v>
      </c>
      <c r="K109" t="s">
        <v>389</v>
      </c>
      <c r="L109">
        <v>1191</v>
      </c>
      <c r="N109">
        <v>1013</v>
      </c>
      <c r="O109" t="s">
        <v>390</v>
      </c>
      <c r="P109" t="s">
        <v>390</v>
      </c>
      <c r="Q109">
        <v>1</v>
      </c>
      <c r="W109">
        <v>0</v>
      </c>
      <c r="X109">
        <v>476480486</v>
      </c>
      <c r="Y109">
        <v>132.54900000000001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S109" t="s">
        <v>3</v>
      </c>
      <c r="AT109">
        <v>115.26</v>
      </c>
      <c r="AU109" t="s">
        <v>18</v>
      </c>
      <c r="AV109">
        <v>1</v>
      </c>
      <c r="AW109">
        <v>2</v>
      </c>
      <c r="AX109">
        <v>44964313</v>
      </c>
      <c r="AY109">
        <v>1</v>
      </c>
      <c r="AZ109">
        <v>0</v>
      </c>
      <c r="BA109">
        <v>106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Y109*Source!I71</f>
        <v>273.05094000000003</v>
      </c>
      <c r="CY109">
        <f>AD109</f>
        <v>0</v>
      </c>
      <c r="CZ109">
        <f>AH109</f>
        <v>0</v>
      </c>
      <c r="DA109">
        <f>AL109</f>
        <v>1</v>
      </c>
      <c r="DB109">
        <f>ROUND((ROUND(AT109*CZ109,2)*1.15),6)</f>
        <v>0</v>
      </c>
      <c r="DC109">
        <f>ROUND((ROUND(AT109*AG109,2)*1.15),6)</f>
        <v>0</v>
      </c>
    </row>
    <row r="110" spans="1:107" x14ac:dyDescent="0.2">
      <c r="A110">
        <f>ROW(Source!A71)</f>
        <v>71</v>
      </c>
      <c r="B110">
        <v>44962055</v>
      </c>
      <c r="C110">
        <v>44964312</v>
      </c>
      <c r="D110">
        <v>30596108</v>
      </c>
      <c r="E110">
        <v>1</v>
      </c>
      <c r="F110">
        <v>1</v>
      </c>
      <c r="G110">
        <v>30515945</v>
      </c>
      <c r="H110">
        <v>2</v>
      </c>
      <c r="I110" t="s">
        <v>488</v>
      </c>
      <c r="J110" t="s">
        <v>489</v>
      </c>
      <c r="K110" t="s">
        <v>490</v>
      </c>
      <c r="L110">
        <v>1367</v>
      </c>
      <c r="N110">
        <v>1011</v>
      </c>
      <c r="O110" t="s">
        <v>394</v>
      </c>
      <c r="P110" t="s">
        <v>394</v>
      </c>
      <c r="Q110">
        <v>1</v>
      </c>
      <c r="W110">
        <v>0</v>
      </c>
      <c r="X110">
        <v>950854334</v>
      </c>
      <c r="Y110">
        <v>1.6875</v>
      </c>
      <c r="AA110">
        <v>0</v>
      </c>
      <c r="AB110">
        <v>26.25</v>
      </c>
      <c r="AC110">
        <v>2.09</v>
      </c>
      <c r="AD110">
        <v>0</v>
      </c>
      <c r="AE110">
        <v>0</v>
      </c>
      <c r="AF110">
        <v>2.36</v>
      </c>
      <c r="AG110">
        <v>0.1</v>
      </c>
      <c r="AH110">
        <v>0</v>
      </c>
      <c r="AI110">
        <v>1</v>
      </c>
      <c r="AJ110">
        <v>10.85</v>
      </c>
      <c r="AK110">
        <v>20.399999999999999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S110" t="s">
        <v>3</v>
      </c>
      <c r="AT110">
        <v>1.35</v>
      </c>
      <c r="AU110" t="s">
        <v>17</v>
      </c>
      <c r="AV110">
        <v>0</v>
      </c>
      <c r="AW110">
        <v>2</v>
      </c>
      <c r="AX110">
        <v>44964314</v>
      </c>
      <c r="AY110">
        <v>1</v>
      </c>
      <c r="AZ110">
        <v>0</v>
      </c>
      <c r="BA110">
        <v>107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Y110*Source!I71</f>
        <v>3.4762500000000003</v>
      </c>
      <c r="CY110">
        <f>AB110</f>
        <v>26.25</v>
      </c>
      <c r="CZ110">
        <f>AF110</f>
        <v>2.36</v>
      </c>
      <c r="DA110">
        <f>AJ110</f>
        <v>10.85</v>
      </c>
      <c r="DB110">
        <f>ROUND((ROUND(AT110*CZ110,2)*1.25),6)</f>
        <v>3.9874999999999998</v>
      </c>
      <c r="DC110">
        <f>ROUND((ROUND(AT110*AG110,2)*1.25),6)</f>
        <v>0.17499999999999999</v>
      </c>
    </row>
    <row r="111" spans="1:107" x14ac:dyDescent="0.2">
      <c r="A111">
        <f>ROW(Source!A71)</f>
        <v>71</v>
      </c>
      <c r="B111">
        <v>44962055</v>
      </c>
      <c r="C111">
        <v>44964312</v>
      </c>
      <c r="D111">
        <v>30516999</v>
      </c>
      <c r="E111">
        <v>30515945</v>
      </c>
      <c r="F111">
        <v>1</v>
      </c>
      <c r="G111">
        <v>30515945</v>
      </c>
      <c r="H111">
        <v>2</v>
      </c>
      <c r="I111" t="s">
        <v>438</v>
      </c>
      <c r="J111" t="s">
        <v>3</v>
      </c>
      <c r="K111" t="s">
        <v>439</v>
      </c>
      <c r="L111">
        <v>1344</v>
      </c>
      <c r="N111">
        <v>1008</v>
      </c>
      <c r="O111" t="s">
        <v>440</v>
      </c>
      <c r="P111" t="s">
        <v>440</v>
      </c>
      <c r="Q111">
        <v>1</v>
      </c>
      <c r="W111">
        <v>0</v>
      </c>
      <c r="X111">
        <v>-1180195794</v>
      </c>
      <c r="Y111">
        <v>23.162500000000001</v>
      </c>
      <c r="AA111">
        <v>0</v>
      </c>
      <c r="AB111">
        <v>1.03</v>
      </c>
      <c r="AC111">
        <v>0</v>
      </c>
      <c r="AD111">
        <v>0</v>
      </c>
      <c r="AE111">
        <v>0</v>
      </c>
      <c r="AF111">
        <v>1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3</v>
      </c>
      <c r="AT111">
        <v>18.53</v>
      </c>
      <c r="AU111" t="s">
        <v>17</v>
      </c>
      <c r="AV111">
        <v>0</v>
      </c>
      <c r="AW111">
        <v>2</v>
      </c>
      <c r="AX111">
        <v>44964315</v>
      </c>
      <c r="AY111">
        <v>1</v>
      </c>
      <c r="AZ111">
        <v>0</v>
      </c>
      <c r="BA111">
        <v>108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Y111*Source!I71</f>
        <v>47.714750000000002</v>
      </c>
      <c r="CY111">
        <f>AB111</f>
        <v>1.03</v>
      </c>
      <c r="CZ111">
        <f>AF111</f>
        <v>1</v>
      </c>
      <c r="DA111">
        <f>AJ111</f>
        <v>1</v>
      </c>
      <c r="DB111">
        <f>ROUND((ROUND(AT111*CZ111,2)*1.25),6)</f>
        <v>23.162500000000001</v>
      </c>
      <c r="DC111">
        <f>ROUND((ROUND(AT111*AG111,2)*1.25),6)</f>
        <v>0</v>
      </c>
    </row>
    <row r="112" spans="1:107" x14ac:dyDescent="0.2">
      <c r="A112">
        <f>ROW(Source!A71)</f>
        <v>71</v>
      </c>
      <c r="B112">
        <v>44962055</v>
      </c>
      <c r="C112">
        <v>44964312</v>
      </c>
      <c r="D112">
        <v>30571178</v>
      </c>
      <c r="E112">
        <v>1</v>
      </c>
      <c r="F112">
        <v>1</v>
      </c>
      <c r="G112">
        <v>30515945</v>
      </c>
      <c r="H112">
        <v>3</v>
      </c>
      <c r="I112" t="s">
        <v>497</v>
      </c>
      <c r="J112" t="s">
        <v>498</v>
      </c>
      <c r="K112" t="s">
        <v>499</v>
      </c>
      <c r="L112">
        <v>1346</v>
      </c>
      <c r="N112">
        <v>1009</v>
      </c>
      <c r="O112" t="s">
        <v>55</v>
      </c>
      <c r="P112" t="s">
        <v>55</v>
      </c>
      <c r="Q112">
        <v>1</v>
      </c>
      <c r="W112">
        <v>0</v>
      </c>
      <c r="X112">
        <v>622621594</v>
      </c>
      <c r="Y112">
        <v>0.5</v>
      </c>
      <c r="AA112">
        <v>49.48</v>
      </c>
      <c r="AB112">
        <v>0</v>
      </c>
      <c r="AC112">
        <v>0</v>
      </c>
      <c r="AD112">
        <v>0</v>
      </c>
      <c r="AE112">
        <v>1.61</v>
      </c>
      <c r="AF112">
        <v>0</v>
      </c>
      <c r="AG112">
        <v>0</v>
      </c>
      <c r="AH112">
        <v>0</v>
      </c>
      <c r="AI112">
        <v>30.73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0.5</v>
      </c>
      <c r="AU112" t="s">
        <v>3</v>
      </c>
      <c r="AV112">
        <v>0</v>
      </c>
      <c r="AW112">
        <v>2</v>
      </c>
      <c r="AX112">
        <v>44964316</v>
      </c>
      <c r="AY112">
        <v>1</v>
      </c>
      <c r="AZ112">
        <v>0</v>
      </c>
      <c r="BA112">
        <v>109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Y112*Source!I71</f>
        <v>1.03</v>
      </c>
      <c r="CY112">
        <f t="shared" ref="CY112:CY117" si="10">AA112</f>
        <v>49.48</v>
      </c>
      <c r="CZ112">
        <f t="shared" ref="CZ112:CZ117" si="11">AE112</f>
        <v>1.61</v>
      </c>
      <c r="DA112">
        <f t="shared" ref="DA112:DA117" si="12">AI112</f>
        <v>30.73</v>
      </c>
      <c r="DB112">
        <f t="shared" ref="DB112:DB117" si="13">ROUND(ROUND(AT112*CZ112,2),6)</f>
        <v>0.81</v>
      </c>
      <c r="DC112">
        <f t="shared" ref="DC112:DC117" si="14">ROUND(ROUND(AT112*AG112,2),6)</f>
        <v>0</v>
      </c>
    </row>
    <row r="113" spans="1:107" x14ac:dyDescent="0.2">
      <c r="A113">
        <f>ROW(Source!A71)</f>
        <v>71</v>
      </c>
      <c r="B113">
        <v>44962055</v>
      </c>
      <c r="C113">
        <v>44964312</v>
      </c>
      <c r="D113">
        <v>30571181</v>
      </c>
      <c r="E113">
        <v>1</v>
      </c>
      <c r="F113">
        <v>1</v>
      </c>
      <c r="G113">
        <v>30515945</v>
      </c>
      <c r="H113">
        <v>3</v>
      </c>
      <c r="I113" t="s">
        <v>441</v>
      </c>
      <c r="J113" t="s">
        <v>442</v>
      </c>
      <c r="K113" t="s">
        <v>443</v>
      </c>
      <c r="L113">
        <v>1339</v>
      </c>
      <c r="N113">
        <v>1007</v>
      </c>
      <c r="O113" t="s">
        <v>140</v>
      </c>
      <c r="P113" t="s">
        <v>140</v>
      </c>
      <c r="Q113">
        <v>1</v>
      </c>
      <c r="W113">
        <v>0</v>
      </c>
      <c r="X113">
        <v>-862991314</v>
      </c>
      <c r="Y113">
        <v>8.5000000000000006E-2</v>
      </c>
      <c r="AA113">
        <v>29.98</v>
      </c>
      <c r="AB113">
        <v>0</v>
      </c>
      <c r="AC113">
        <v>0</v>
      </c>
      <c r="AD113">
        <v>0</v>
      </c>
      <c r="AE113">
        <v>7.07</v>
      </c>
      <c r="AF113">
        <v>0</v>
      </c>
      <c r="AG113">
        <v>0</v>
      </c>
      <c r="AH113">
        <v>0</v>
      </c>
      <c r="AI113">
        <v>4.24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8.5000000000000006E-2</v>
      </c>
      <c r="AU113" t="s">
        <v>3</v>
      </c>
      <c r="AV113">
        <v>0</v>
      </c>
      <c r="AW113">
        <v>2</v>
      </c>
      <c r="AX113">
        <v>44964317</v>
      </c>
      <c r="AY113">
        <v>1</v>
      </c>
      <c r="AZ113">
        <v>0</v>
      </c>
      <c r="BA113">
        <v>110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Y113*Source!I71</f>
        <v>0.17510000000000001</v>
      </c>
      <c r="CY113">
        <f t="shared" si="10"/>
        <v>29.98</v>
      </c>
      <c r="CZ113">
        <f t="shared" si="11"/>
        <v>7.07</v>
      </c>
      <c r="DA113">
        <f t="shared" si="12"/>
        <v>4.24</v>
      </c>
      <c r="DB113">
        <f t="shared" si="13"/>
        <v>0.6</v>
      </c>
      <c r="DC113">
        <f t="shared" si="14"/>
        <v>0</v>
      </c>
    </row>
    <row r="114" spans="1:107" x14ac:dyDescent="0.2">
      <c r="A114">
        <f>ROW(Source!A71)</f>
        <v>71</v>
      </c>
      <c r="B114">
        <v>44962055</v>
      </c>
      <c r="C114">
        <v>44964312</v>
      </c>
      <c r="D114">
        <v>30571239</v>
      </c>
      <c r="E114">
        <v>1</v>
      </c>
      <c r="F114">
        <v>1</v>
      </c>
      <c r="G114">
        <v>30515945</v>
      </c>
      <c r="H114">
        <v>3</v>
      </c>
      <c r="I114" t="s">
        <v>500</v>
      </c>
      <c r="J114" t="s">
        <v>501</v>
      </c>
      <c r="K114" t="s">
        <v>502</v>
      </c>
      <c r="L114">
        <v>1348</v>
      </c>
      <c r="N114">
        <v>1009</v>
      </c>
      <c r="O114" t="s">
        <v>77</v>
      </c>
      <c r="P114" t="s">
        <v>77</v>
      </c>
      <c r="Q114">
        <v>1000</v>
      </c>
      <c r="W114">
        <v>0</v>
      </c>
      <c r="X114">
        <v>1278700257</v>
      </c>
      <c r="Y114">
        <v>2.0999999999999999E-3</v>
      </c>
      <c r="AA114">
        <v>62094.03</v>
      </c>
      <c r="AB114">
        <v>0</v>
      </c>
      <c r="AC114">
        <v>0</v>
      </c>
      <c r="AD114">
        <v>0</v>
      </c>
      <c r="AE114">
        <v>39052.85</v>
      </c>
      <c r="AF114">
        <v>0</v>
      </c>
      <c r="AG114">
        <v>0</v>
      </c>
      <c r="AH114">
        <v>0</v>
      </c>
      <c r="AI114">
        <v>1.59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2.0999999999999999E-3</v>
      </c>
      <c r="AU114" t="s">
        <v>3</v>
      </c>
      <c r="AV114">
        <v>0</v>
      </c>
      <c r="AW114">
        <v>2</v>
      </c>
      <c r="AX114">
        <v>44964318</v>
      </c>
      <c r="AY114">
        <v>1</v>
      </c>
      <c r="AZ114">
        <v>0</v>
      </c>
      <c r="BA114">
        <v>111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Y114*Source!I71</f>
        <v>4.326E-3</v>
      </c>
      <c r="CY114">
        <f t="shared" si="10"/>
        <v>62094.03</v>
      </c>
      <c r="CZ114">
        <f t="shared" si="11"/>
        <v>39052.85</v>
      </c>
      <c r="DA114">
        <f t="shared" si="12"/>
        <v>1.59</v>
      </c>
      <c r="DB114">
        <f t="shared" si="13"/>
        <v>82.01</v>
      </c>
      <c r="DC114">
        <f t="shared" si="14"/>
        <v>0</v>
      </c>
    </row>
    <row r="115" spans="1:107" x14ac:dyDescent="0.2">
      <c r="A115">
        <f>ROW(Source!A71)</f>
        <v>71</v>
      </c>
      <c r="B115">
        <v>44962055</v>
      </c>
      <c r="C115">
        <v>44964312</v>
      </c>
      <c r="D115">
        <v>30571806</v>
      </c>
      <c r="E115">
        <v>1</v>
      </c>
      <c r="F115">
        <v>1</v>
      </c>
      <c r="G115">
        <v>30515945</v>
      </c>
      <c r="H115">
        <v>3</v>
      </c>
      <c r="I115" t="s">
        <v>231</v>
      </c>
      <c r="J115" t="s">
        <v>233</v>
      </c>
      <c r="K115" t="s">
        <v>232</v>
      </c>
      <c r="L115">
        <v>1327</v>
      </c>
      <c r="N115">
        <v>1005</v>
      </c>
      <c r="O115" t="s">
        <v>36</v>
      </c>
      <c r="P115" t="s">
        <v>36</v>
      </c>
      <c r="Q115">
        <v>1</v>
      </c>
      <c r="W115">
        <v>0</v>
      </c>
      <c r="X115">
        <v>-829001260</v>
      </c>
      <c r="Y115">
        <v>100</v>
      </c>
      <c r="AA115">
        <v>228.12</v>
      </c>
      <c r="AB115">
        <v>0</v>
      </c>
      <c r="AC115">
        <v>0</v>
      </c>
      <c r="AD115">
        <v>0</v>
      </c>
      <c r="AE115">
        <v>52.32</v>
      </c>
      <c r="AF115">
        <v>0</v>
      </c>
      <c r="AG115">
        <v>0</v>
      </c>
      <c r="AH115">
        <v>0</v>
      </c>
      <c r="AI115">
        <v>4.3600000000000003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0</v>
      </c>
      <c r="AR115">
        <v>0</v>
      </c>
      <c r="AS115" t="s">
        <v>3</v>
      </c>
      <c r="AT115">
        <v>100</v>
      </c>
      <c r="AU115" t="s">
        <v>3</v>
      </c>
      <c r="AV115">
        <v>0</v>
      </c>
      <c r="AW115">
        <v>1</v>
      </c>
      <c r="AX115">
        <v>-1</v>
      </c>
      <c r="AY115">
        <v>0</v>
      </c>
      <c r="AZ115">
        <v>0</v>
      </c>
      <c r="BA115" t="s">
        <v>3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Y115*Source!I71</f>
        <v>206</v>
      </c>
      <c r="CY115">
        <f t="shared" si="10"/>
        <v>228.12</v>
      </c>
      <c r="CZ115">
        <f t="shared" si="11"/>
        <v>52.32</v>
      </c>
      <c r="DA115">
        <f t="shared" si="12"/>
        <v>4.3600000000000003</v>
      </c>
      <c r="DB115">
        <f t="shared" si="13"/>
        <v>5232</v>
      </c>
      <c r="DC115">
        <f t="shared" si="14"/>
        <v>0</v>
      </c>
    </row>
    <row r="116" spans="1:107" x14ac:dyDescent="0.2">
      <c r="A116">
        <f>ROW(Source!A71)</f>
        <v>71</v>
      </c>
      <c r="B116">
        <v>44962055</v>
      </c>
      <c r="C116">
        <v>44964312</v>
      </c>
      <c r="D116">
        <v>30589787</v>
      </c>
      <c r="E116">
        <v>1</v>
      </c>
      <c r="F116">
        <v>1</v>
      </c>
      <c r="G116">
        <v>30515945</v>
      </c>
      <c r="H116">
        <v>3</v>
      </c>
      <c r="I116" t="s">
        <v>206</v>
      </c>
      <c r="J116" t="s">
        <v>208</v>
      </c>
      <c r="K116" t="s">
        <v>207</v>
      </c>
      <c r="L116">
        <v>1348</v>
      </c>
      <c r="N116">
        <v>1009</v>
      </c>
      <c r="O116" t="s">
        <v>77</v>
      </c>
      <c r="P116" t="s">
        <v>77</v>
      </c>
      <c r="Q116">
        <v>1000</v>
      </c>
      <c r="W116">
        <v>0</v>
      </c>
      <c r="X116">
        <v>1389983172</v>
      </c>
      <c r="Y116">
        <v>0.28000000000000003</v>
      </c>
      <c r="AA116">
        <v>25994.54</v>
      </c>
      <c r="AB116">
        <v>0</v>
      </c>
      <c r="AC116">
        <v>0</v>
      </c>
      <c r="AD116">
        <v>0</v>
      </c>
      <c r="AE116">
        <v>27362.67</v>
      </c>
      <c r="AF116">
        <v>0</v>
      </c>
      <c r="AG116">
        <v>0</v>
      </c>
      <c r="AH116">
        <v>0</v>
      </c>
      <c r="AI116">
        <v>0.95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3</v>
      </c>
      <c r="AT116">
        <v>0.28000000000000003</v>
      </c>
      <c r="AU116" t="s">
        <v>3</v>
      </c>
      <c r="AV116">
        <v>0</v>
      </c>
      <c r="AW116">
        <v>1</v>
      </c>
      <c r="AX116">
        <v>-1</v>
      </c>
      <c r="AY116">
        <v>0</v>
      </c>
      <c r="AZ116">
        <v>0</v>
      </c>
      <c r="BA116" t="s">
        <v>3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Y116*Source!I71</f>
        <v>0.57680000000000009</v>
      </c>
      <c r="CY116">
        <f t="shared" si="10"/>
        <v>25994.54</v>
      </c>
      <c r="CZ116">
        <f t="shared" si="11"/>
        <v>27362.67</v>
      </c>
      <c r="DA116">
        <f t="shared" si="12"/>
        <v>0.95</v>
      </c>
      <c r="DB116">
        <f t="shared" si="13"/>
        <v>7661.55</v>
      </c>
      <c r="DC116">
        <f t="shared" si="14"/>
        <v>0</v>
      </c>
    </row>
    <row r="117" spans="1:107" x14ac:dyDescent="0.2">
      <c r="A117">
        <f>ROW(Source!A71)</f>
        <v>71</v>
      </c>
      <c r="B117">
        <v>44962055</v>
      </c>
      <c r="C117">
        <v>44964312</v>
      </c>
      <c r="D117">
        <v>30589721</v>
      </c>
      <c r="E117">
        <v>1</v>
      </c>
      <c r="F117">
        <v>1</v>
      </c>
      <c r="G117">
        <v>30515945</v>
      </c>
      <c r="H117">
        <v>3</v>
      </c>
      <c r="I117" t="s">
        <v>227</v>
      </c>
      <c r="J117" t="s">
        <v>229</v>
      </c>
      <c r="K117" t="s">
        <v>228</v>
      </c>
      <c r="L117">
        <v>1348</v>
      </c>
      <c r="N117">
        <v>1009</v>
      </c>
      <c r="O117" t="s">
        <v>77</v>
      </c>
      <c r="P117" t="s">
        <v>77</v>
      </c>
      <c r="Q117">
        <v>1000</v>
      </c>
      <c r="W117">
        <v>0</v>
      </c>
      <c r="X117">
        <v>1724304728</v>
      </c>
      <c r="Y117">
        <v>0.375</v>
      </c>
      <c r="AA117">
        <v>14849.16</v>
      </c>
      <c r="AB117">
        <v>0</v>
      </c>
      <c r="AC117">
        <v>0</v>
      </c>
      <c r="AD117">
        <v>0</v>
      </c>
      <c r="AE117">
        <v>3374.81</v>
      </c>
      <c r="AF117">
        <v>0</v>
      </c>
      <c r="AG117">
        <v>0</v>
      </c>
      <c r="AH117">
        <v>0</v>
      </c>
      <c r="AI117">
        <v>4.4000000000000004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 t="s">
        <v>3</v>
      </c>
      <c r="AT117">
        <v>0.375</v>
      </c>
      <c r="AU117" t="s">
        <v>3</v>
      </c>
      <c r="AV117">
        <v>0</v>
      </c>
      <c r="AW117">
        <v>1</v>
      </c>
      <c r="AX117">
        <v>-1</v>
      </c>
      <c r="AY117">
        <v>0</v>
      </c>
      <c r="AZ117">
        <v>0</v>
      </c>
      <c r="BA117" t="s">
        <v>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Y117*Source!I71</f>
        <v>0.77249999999999996</v>
      </c>
      <c r="CY117">
        <f t="shared" si="10"/>
        <v>14849.16</v>
      </c>
      <c r="CZ117">
        <f t="shared" si="11"/>
        <v>3374.81</v>
      </c>
      <c r="DA117">
        <f t="shared" si="12"/>
        <v>4.4000000000000004</v>
      </c>
      <c r="DB117">
        <f t="shared" si="13"/>
        <v>1265.55</v>
      </c>
      <c r="DC117">
        <f t="shared" si="14"/>
        <v>0</v>
      </c>
    </row>
    <row r="118" spans="1:107" x14ac:dyDescent="0.2">
      <c r="A118">
        <f>ROW(Source!A75)</f>
        <v>75</v>
      </c>
      <c r="B118">
        <v>44962055</v>
      </c>
      <c r="C118">
        <v>44967016</v>
      </c>
      <c r="D118">
        <v>30515951</v>
      </c>
      <c r="E118">
        <v>30515945</v>
      </c>
      <c r="F118">
        <v>1</v>
      </c>
      <c r="G118">
        <v>30515945</v>
      </c>
      <c r="H118">
        <v>1</v>
      </c>
      <c r="I118" t="s">
        <v>388</v>
      </c>
      <c r="J118" t="s">
        <v>3</v>
      </c>
      <c r="K118" t="s">
        <v>389</v>
      </c>
      <c r="L118">
        <v>1191</v>
      </c>
      <c r="N118">
        <v>1013</v>
      </c>
      <c r="O118" t="s">
        <v>390</v>
      </c>
      <c r="P118" t="s">
        <v>390</v>
      </c>
      <c r="Q118">
        <v>1</v>
      </c>
      <c r="W118">
        <v>0</v>
      </c>
      <c r="X118">
        <v>476480486</v>
      </c>
      <c r="Y118">
        <v>254.7825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S118" t="s">
        <v>3</v>
      </c>
      <c r="AT118">
        <v>221.55</v>
      </c>
      <c r="AU118" t="s">
        <v>18</v>
      </c>
      <c r="AV118">
        <v>1</v>
      </c>
      <c r="AW118">
        <v>2</v>
      </c>
      <c r="AX118">
        <v>44967017</v>
      </c>
      <c r="AY118">
        <v>1</v>
      </c>
      <c r="AZ118">
        <v>0</v>
      </c>
      <c r="BA118">
        <v>115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Y118*Source!I75</f>
        <v>63.695625</v>
      </c>
      <c r="CY118">
        <f>AD118</f>
        <v>0</v>
      </c>
      <c r="CZ118">
        <f>AH118</f>
        <v>0</v>
      </c>
      <c r="DA118">
        <f>AL118</f>
        <v>1</v>
      </c>
      <c r="DB118">
        <f>ROUND((ROUND(AT118*CZ118,2)*1.15),6)</f>
        <v>0</v>
      </c>
      <c r="DC118">
        <f>ROUND((ROUND(AT118*AG118,2)*1.15),6)</f>
        <v>0</v>
      </c>
    </row>
    <row r="119" spans="1:107" x14ac:dyDescent="0.2">
      <c r="A119">
        <f>ROW(Source!A75)</f>
        <v>75</v>
      </c>
      <c r="B119">
        <v>44962055</v>
      </c>
      <c r="C119">
        <v>44967016</v>
      </c>
      <c r="D119">
        <v>30596074</v>
      </c>
      <c r="E119">
        <v>1</v>
      </c>
      <c r="F119">
        <v>1</v>
      </c>
      <c r="G119">
        <v>30515945</v>
      </c>
      <c r="H119">
        <v>2</v>
      </c>
      <c r="I119" t="s">
        <v>391</v>
      </c>
      <c r="J119" t="s">
        <v>392</v>
      </c>
      <c r="K119" t="s">
        <v>393</v>
      </c>
      <c r="L119">
        <v>1367</v>
      </c>
      <c r="N119">
        <v>1011</v>
      </c>
      <c r="O119" t="s">
        <v>394</v>
      </c>
      <c r="P119" t="s">
        <v>394</v>
      </c>
      <c r="Q119">
        <v>1</v>
      </c>
      <c r="W119">
        <v>0</v>
      </c>
      <c r="X119">
        <v>-628430174</v>
      </c>
      <c r="Y119">
        <v>0.53749999999999998</v>
      </c>
      <c r="AA119">
        <v>0</v>
      </c>
      <c r="AB119">
        <v>641.75</v>
      </c>
      <c r="AC119">
        <v>306.70999999999998</v>
      </c>
      <c r="AD119">
        <v>0</v>
      </c>
      <c r="AE119">
        <v>0</v>
      </c>
      <c r="AF119">
        <v>76.81</v>
      </c>
      <c r="AG119">
        <v>14.36</v>
      </c>
      <c r="AH119">
        <v>0</v>
      </c>
      <c r="AI119">
        <v>1</v>
      </c>
      <c r="AJ119">
        <v>7.98</v>
      </c>
      <c r="AK119">
        <v>20.399999999999999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S119" t="s">
        <v>3</v>
      </c>
      <c r="AT119">
        <v>0.43</v>
      </c>
      <c r="AU119" t="s">
        <v>17</v>
      </c>
      <c r="AV119">
        <v>0</v>
      </c>
      <c r="AW119">
        <v>2</v>
      </c>
      <c r="AX119">
        <v>44967018</v>
      </c>
      <c r="AY119">
        <v>1</v>
      </c>
      <c r="AZ119">
        <v>0</v>
      </c>
      <c r="BA119">
        <v>116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Y119*Source!I75</f>
        <v>0.13437499999999999</v>
      </c>
      <c r="CY119">
        <f>AB119</f>
        <v>641.75</v>
      </c>
      <c r="CZ119">
        <f>AF119</f>
        <v>76.81</v>
      </c>
      <c r="DA119">
        <f>AJ119</f>
        <v>7.98</v>
      </c>
      <c r="DB119">
        <f>ROUND((ROUND(AT119*CZ119,2)*1.25),6)</f>
        <v>41.287500000000001</v>
      </c>
      <c r="DC119">
        <f>ROUND((ROUND(AT119*AG119,2)*1.25),6)</f>
        <v>7.7125000000000004</v>
      </c>
    </row>
    <row r="120" spans="1:107" x14ac:dyDescent="0.2">
      <c r="A120">
        <f>ROW(Source!A75)</f>
        <v>75</v>
      </c>
      <c r="B120">
        <v>44962055</v>
      </c>
      <c r="C120">
        <v>44967016</v>
      </c>
      <c r="D120">
        <v>30596197</v>
      </c>
      <c r="E120">
        <v>1</v>
      </c>
      <c r="F120">
        <v>1</v>
      </c>
      <c r="G120">
        <v>30515945</v>
      </c>
      <c r="H120">
        <v>2</v>
      </c>
      <c r="I120" t="s">
        <v>395</v>
      </c>
      <c r="J120" t="s">
        <v>396</v>
      </c>
      <c r="K120" t="s">
        <v>397</v>
      </c>
      <c r="L120">
        <v>1367</v>
      </c>
      <c r="N120">
        <v>1011</v>
      </c>
      <c r="O120" t="s">
        <v>394</v>
      </c>
      <c r="P120" t="s">
        <v>394</v>
      </c>
      <c r="Q120">
        <v>1</v>
      </c>
      <c r="W120">
        <v>0</v>
      </c>
      <c r="X120">
        <v>593980231</v>
      </c>
      <c r="Y120">
        <v>1.375</v>
      </c>
      <c r="AA120">
        <v>0</v>
      </c>
      <c r="AB120">
        <v>7.93</v>
      </c>
      <c r="AC120">
        <v>0.85</v>
      </c>
      <c r="AD120">
        <v>0</v>
      </c>
      <c r="AE120">
        <v>0</v>
      </c>
      <c r="AF120">
        <v>2.36</v>
      </c>
      <c r="AG120">
        <v>0.04</v>
      </c>
      <c r="AH120">
        <v>0</v>
      </c>
      <c r="AI120">
        <v>1</v>
      </c>
      <c r="AJ120">
        <v>3.21</v>
      </c>
      <c r="AK120">
        <v>20.399999999999999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S120" t="s">
        <v>3</v>
      </c>
      <c r="AT120">
        <v>1.1000000000000001</v>
      </c>
      <c r="AU120" t="s">
        <v>17</v>
      </c>
      <c r="AV120">
        <v>0</v>
      </c>
      <c r="AW120">
        <v>2</v>
      </c>
      <c r="AX120">
        <v>44967020</v>
      </c>
      <c r="AY120">
        <v>1</v>
      </c>
      <c r="AZ120">
        <v>0</v>
      </c>
      <c r="BA120">
        <v>117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Y120*Source!I75</f>
        <v>0.34375</v>
      </c>
      <c r="CY120">
        <f>AB120</f>
        <v>7.93</v>
      </c>
      <c r="CZ120">
        <f>AF120</f>
        <v>2.36</v>
      </c>
      <c r="DA120">
        <f>AJ120</f>
        <v>3.21</v>
      </c>
      <c r="DB120">
        <f>ROUND((ROUND(AT120*CZ120,2)*1.25),6)</f>
        <v>3.25</v>
      </c>
      <c r="DC120">
        <f>ROUND((ROUND(AT120*AG120,2)*1.25),6)</f>
        <v>0.05</v>
      </c>
    </row>
    <row r="121" spans="1:107" x14ac:dyDescent="0.2">
      <c r="A121">
        <f>ROW(Source!A75)</f>
        <v>75</v>
      </c>
      <c r="B121">
        <v>44962055</v>
      </c>
      <c r="C121">
        <v>44967016</v>
      </c>
      <c r="D121">
        <v>30596132</v>
      </c>
      <c r="E121">
        <v>1</v>
      </c>
      <c r="F121">
        <v>1</v>
      </c>
      <c r="G121">
        <v>30515945</v>
      </c>
      <c r="H121">
        <v>2</v>
      </c>
      <c r="I121" t="s">
        <v>398</v>
      </c>
      <c r="J121" t="s">
        <v>399</v>
      </c>
      <c r="K121" t="s">
        <v>400</v>
      </c>
      <c r="L121">
        <v>1367</v>
      </c>
      <c r="N121">
        <v>1011</v>
      </c>
      <c r="O121" t="s">
        <v>394</v>
      </c>
      <c r="P121" t="s">
        <v>394</v>
      </c>
      <c r="Q121">
        <v>1</v>
      </c>
      <c r="W121">
        <v>0</v>
      </c>
      <c r="X121">
        <v>-230399397</v>
      </c>
      <c r="Y121">
        <v>0.26250000000000001</v>
      </c>
      <c r="AA121">
        <v>0</v>
      </c>
      <c r="AB121">
        <v>3.9</v>
      </c>
      <c r="AC121">
        <v>0.85</v>
      </c>
      <c r="AD121">
        <v>0</v>
      </c>
      <c r="AE121">
        <v>0</v>
      </c>
      <c r="AF121">
        <v>0.57999999999999996</v>
      </c>
      <c r="AG121">
        <v>0.04</v>
      </c>
      <c r="AH121">
        <v>0</v>
      </c>
      <c r="AI121">
        <v>1</v>
      </c>
      <c r="AJ121">
        <v>6.43</v>
      </c>
      <c r="AK121">
        <v>20.399999999999999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S121" t="s">
        <v>3</v>
      </c>
      <c r="AT121">
        <v>0.21</v>
      </c>
      <c r="AU121" t="s">
        <v>17</v>
      </c>
      <c r="AV121">
        <v>0</v>
      </c>
      <c r="AW121">
        <v>2</v>
      </c>
      <c r="AX121">
        <v>44967021</v>
      </c>
      <c r="AY121">
        <v>1</v>
      </c>
      <c r="AZ121">
        <v>0</v>
      </c>
      <c r="BA121">
        <v>118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Y121*Source!I75</f>
        <v>6.5625000000000003E-2</v>
      </c>
      <c r="CY121">
        <f>AB121</f>
        <v>3.9</v>
      </c>
      <c r="CZ121">
        <f>AF121</f>
        <v>0.57999999999999996</v>
      </c>
      <c r="DA121">
        <f>AJ121</f>
        <v>6.43</v>
      </c>
      <c r="DB121">
        <f>ROUND((ROUND(AT121*CZ121,2)*1.25),6)</f>
        <v>0.15</v>
      </c>
      <c r="DC121">
        <f>ROUND((ROUND(AT121*AG121,2)*1.25),6)</f>
        <v>1.2500000000000001E-2</v>
      </c>
    </row>
    <row r="122" spans="1:107" x14ac:dyDescent="0.2">
      <c r="A122">
        <f>ROW(Source!A75)</f>
        <v>75</v>
      </c>
      <c r="B122">
        <v>44962055</v>
      </c>
      <c r="C122">
        <v>44967016</v>
      </c>
      <c r="D122">
        <v>30596154</v>
      </c>
      <c r="E122">
        <v>1</v>
      </c>
      <c r="F122">
        <v>1</v>
      </c>
      <c r="G122">
        <v>30515945</v>
      </c>
      <c r="H122">
        <v>2</v>
      </c>
      <c r="I122" t="s">
        <v>401</v>
      </c>
      <c r="J122" t="s">
        <v>402</v>
      </c>
      <c r="K122" t="s">
        <v>403</v>
      </c>
      <c r="L122">
        <v>1367</v>
      </c>
      <c r="N122">
        <v>1011</v>
      </c>
      <c r="O122" t="s">
        <v>394</v>
      </c>
      <c r="P122" t="s">
        <v>394</v>
      </c>
      <c r="Q122">
        <v>1</v>
      </c>
      <c r="W122">
        <v>0</v>
      </c>
      <c r="X122">
        <v>926785503</v>
      </c>
      <c r="Y122">
        <v>5.75</v>
      </c>
      <c r="AA122">
        <v>0</v>
      </c>
      <c r="AB122">
        <v>5.36</v>
      </c>
      <c r="AC122">
        <v>0.85</v>
      </c>
      <c r="AD122">
        <v>0</v>
      </c>
      <c r="AE122">
        <v>0</v>
      </c>
      <c r="AF122">
        <v>0.64</v>
      </c>
      <c r="AG122">
        <v>0.04</v>
      </c>
      <c r="AH122">
        <v>0</v>
      </c>
      <c r="AI122">
        <v>1</v>
      </c>
      <c r="AJ122">
        <v>8</v>
      </c>
      <c r="AK122">
        <v>20.399999999999999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S122" t="s">
        <v>3</v>
      </c>
      <c r="AT122">
        <v>4.5999999999999996</v>
      </c>
      <c r="AU122" t="s">
        <v>17</v>
      </c>
      <c r="AV122">
        <v>0</v>
      </c>
      <c r="AW122">
        <v>2</v>
      </c>
      <c r="AX122">
        <v>44967022</v>
      </c>
      <c r="AY122">
        <v>1</v>
      </c>
      <c r="AZ122">
        <v>0</v>
      </c>
      <c r="BA122">
        <v>119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Y122*Source!I75</f>
        <v>1.4375</v>
      </c>
      <c r="CY122">
        <f>AB122</f>
        <v>5.36</v>
      </c>
      <c r="CZ122">
        <f>AF122</f>
        <v>0.64</v>
      </c>
      <c r="DA122">
        <f>AJ122</f>
        <v>8</v>
      </c>
      <c r="DB122">
        <f>ROUND((ROUND(AT122*CZ122,2)*1.25),6)</f>
        <v>3.6749999999999998</v>
      </c>
      <c r="DC122">
        <f>ROUND((ROUND(AT122*AG122,2)*1.25),6)</f>
        <v>0.22500000000000001</v>
      </c>
    </row>
    <row r="123" spans="1:107" x14ac:dyDescent="0.2">
      <c r="A123">
        <f>ROW(Source!A75)</f>
        <v>75</v>
      </c>
      <c r="B123">
        <v>44962055</v>
      </c>
      <c r="C123">
        <v>44967016</v>
      </c>
      <c r="D123">
        <v>30595318</v>
      </c>
      <c r="E123">
        <v>1</v>
      </c>
      <c r="F123">
        <v>1</v>
      </c>
      <c r="G123">
        <v>30515945</v>
      </c>
      <c r="H123">
        <v>2</v>
      </c>
      <c r="I123" t="s">
        <v>404</v>
      </c>
      <c r="J123" t="s">
        <v>405</v>
      </c>
      <c r="K123" t="s">
        <v>406</v>
      </c>
      <c r="L123">
        <v>1367</v>
      </c>
      <c r="N123">
        <v>1011</v>
      </c>
      <c r="O123" t="s">
        <v>394</v>
      </c>
      <c r="P123" t="s">
        <v>394</v>
      </c>
      <c r="Q123">
        <v>1</v>
      </c>
      <c r="W123">
        <v>0</v>
      </c>
      <c r="X123">
        <v>-94137371</v>
      </c>
      <c r="Y123">
        <v>1.325</v>
      </c>
      <c r="AA123">
        <v>0</v>
      </c>
      <c r="AB123">
        <v>968.6</v>
      </c>
      <c r="AC123">
        <v>641.4</v>
      </c>
      <c r="AD123">
        <v>0</v>
      </c>
      <c r="AE123">
        <v>0</v>
      </c>
      <c r="AF123">
        <v>102.11</v>
      </c>
      <c r="AG123">
        <v>30.03</v>
      </c>
      <c r="AH123">
        <v>0</v>
      </c>
      <c r="AI123">
        <v>1</v>
      </c>
      <c r="AJ123">
        <v>9.06</v>
      </c>
      <c r="AK123">
        <v>20.399999999999999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S123" t="s">
        <v>3</v>
      </c>
      <c r="AT123">
        <v>1.06</v>
      </c>
      <c r="AU123" t="s">
        <v>17</v>
      </c>
      <c r="AV123">
        <v>0</v>
      </c>
      <c r="AW123">
        <v>2</v>
      </c>
      <c r="AX123">
        <v>44967019</v>
      </c>
      <c r="AY123">
        <v>1</v>
      </c>
      <c r="AZ123">
        <v>0</v>
      </c>
      <c r="BA123">
        <v>120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Y123*Source!I75</f>
        <v>0.33124999999999999</v>
      </c>
      <c r="CY123">
        <f>AB123</f>
        <v>968.6</v>
      </c>
      <c r="CZ123">
        <f>AF123</f>
        <v>102.11</v>
      </c>
      <c r="DA123">
        <f>AJ123</f>
        <v>9.06</v>
      </c>
      <c r="DB123">
        <f>ROUND((ROUND(AT123*CZ123,2)*1.25),6)</f>
        <v>135.30000000000001</v>
      </c>
      <c r="DC123">
        <f>ROUND((ROUND(AT123*AG123,2)*1.25),6)</f>
        <v>39.787500000000001</v>
      </c>
    </row>
    <row r="124" spans="1:107" x14ac:dyDescent="0.2">
      <c r="A124">
        <f>ROW(Source!A75)</f>
        <v>75</v>
      </c>
      <c r="B124">
        <v>44962055</v>
      </c>
      <c r="C124">
        <v>44967016</v>
      </c>
      <c r="D124">
        <v>30573936</v>
      </c>
      <c r="E124">
        <v>1</v>
      </c>
      <c r="F124">
        <v>1</v>
      </c>
      <c r="G124">
        <v>30515945</v>
      </c>
      <c r="H124">
        <v>3</v>
      </c>
      <c r="I124" t="s">
        <v>407</v>
      </c>
      <c r="J124" t="s">
        <v>408</v>
      </c>
      <c r="K124" t="s">
        <v>409</v>
      </c>
      <c r="L124">
        <v>1346</v>
      </c>
      <c r="N124">
        <v>1009</v>
      </c>
      <c r="O124" t="s">
        <v>55</v>
      </c>
      <c r="P124" t="s">
        <v>55</v>
      </c>
      <c r="Q124">
        <v>1</v>
      </c>
      <c r="W124">
        <v>0</v>
      </c>
      <c r="X124">
        <v>-663292889</v>
      </c>
      <c r="Y124">
        <v>20</v>
      </c>
      <c r="AA124">
        <v>66.47</v>
      </c>
      <c r="AB124">
        <v>0</v>
      </c>
      <c r="AC124">
        <v>0</v>
      </c>
      <c r="AD124">
        <v>0</v>
      </c>
      <c r="AE124">
        <v>17.309999999999999</v>
      </c>
      <c r="AF124">
        <v>0</v>
      </c>
      <c r="AG124">
        <v>0</v>
      </c>
      <c r="AH124">
        <v>0</v>
      </c>
      <c r="AI124">
        <v>3.84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20</v>
      </c>
      <c r="AU124" t="s">
        <v>3</v>
      </c>
      <c r="AV124">
        <v>0</v>
      </c>
      <c r="AW124">
        <v>2</v>
      </c>
      <c r="AX124">
        <v>44967023</v>
      </c>
      <c r="AY124">
        <v>1</v>
      </c>
      <c r="AZ124">
        <v>0</v>
      </c>
      <c r="BA124">
        <v>121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Y124*Source!I75</f>
        <v>5</v>
      </c>
      <c r="CY124">
        <f t="shared" ref="CY124:CY136" si="15">AA124</f>
        <v>66.47</v>
      </c>
      <c r="CZ124">
        <f t="shared" ref="CZ124:CZ136" si="16">AE124</f>
        <v>17.309999999999999</v>
      </c>
      <c r="DA124">
        <f t="shared" ref="DA124:DA136" si="17">AI124</f>
        <v>3.84</v>
      </c>
      <c r="DB124">
        <f t="shared" ref="DB124:DB136" si="18">ROUND(ROUND(AT124*CZ124,2),6)</f>
        <v>346.2</v>
      </c>
      <c r="DC124">
        <f t="shared" ref="DC124:DC136" si="19">ROUND(ROUND(AT124*AG124,2),6)</f>
        <v>0</v>
      </c>
    </row>
    <row r="125" spans="1:107" x14ac:dyDescent="0.2">
      <c r="A125">
        <f>ROW(Source!A75)</f>
        <v>75</v>
      </c>
      <c r="B125">
        <v>44962055</v>
      </c>
      <c r="C125">
        <v>44967016</v>
      </c>
      <c r="D125">
        <v>30574374</v>
      </c>
      <c r="E125">
        <v>1</v>
      </c>
      <c r="F125">
        <v>1</v>
      </c>
      <c r="G125">
        <v>30515945</v>
      </c>
      <c r="H125">
        <v>3</v>
      </c>
      <c r="I125" t="s">
        <v>39</v>
      </c>
      <c r="J125" t="s">
        <v>41</v>
      </c>
      <c r="K125" t="s">
        <v>40</v>
      </c>
      <c r="L125">
        <v>1301</v>
      </c>
      <c r="N125">
        <v>1003</v>
      </c>
      <c r="O125" t="s">
        <v>26</v>
      </c>
      <c r="P125" t="s">
        <v>26</v>
      </c>
      <c r="Q125">
        <v>1</v>
      </c>
      <c r="W125">
        <v>0</v>
      </c>
      <c r="X125">
        <v>1854175844</v>
      </c>
      <c r="Y125">
        <v>152</v>
      </c>
      <c r="AA125">
        <v>2.4700000000000002</v>
      </c>
      <c r="AB125">
        <v>0</v>
      </c>
      <c r="AC125">
        <v>0</v>
      </c>
      <c r="AD125">
        <v>0</v>
      </c>
      <c r="AE125">
        <v>0.89</v>
      </c>
      <c r="AF125">
        <v>0</v>
      </c>
      <c r="AG125">
        <v>0</v>
      </c>
      <c r="AH125">
        <v>0</v>
      </c>
      <c r="AI125">
        <v>2.78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152</v>
      </c>
      <c r="AU125" t="s">
        <v>3</v>
      </c>
      <c r="AV125">
        <v>0</v>
      </c>
      <c r="AW125">
        <v>2</v>
      </c>
      <c r="AX125">
        <v>44967024</v>
      </c>
      <c r="AY125">
        <v>1</v>
      </c>
      <c r="AZ125">
        <v>0</v>
      </c>
      <c r="BA125">
        <v>122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Y125*Source!I75</f>
        <v>38</v>
      </c>
      <c r="CY125">
        <f t="shared" si="15"/>
        <v>2.4700000000000002</v>
      </c>
      <c r="CZ125">
        <f t="shared" si="16"/>
        <v>0.89</v>
      </c>
      <c r="DA125">
        <f t="shared" si="17"/>
        <v>2.78</v>
      </c>
      <c r="DB125">
        <f t="shared" si="18"/>
        <v>135.28</v>
      </c>
      <c r="DC125">
        <f t="shared" si="19"/>
        <v>0</v>
      </c>
    </row>
    <row r="126" spans="1:107" x14ac:dyDescent="0.2">
      <c r="A126">
        <f>ROW(Source!A75)</f>
        <v>75</v>
      </c>
      <c r="B126">
        <v>44962055</v>
      </c>
      <c r="C126">
        <v>44967016</v>
      </c>
      <c r="D126">
        <v>30574375</v>
      </c>
      <c r="E126">
        <v>1</v>
      </c>
      <c r="F126">
        <v>1</v>
      </c>
      <c r="G126">
        <v>30515945</v>
      </c>
      <c r="H126">
        <v>3</v>
      </c>
      <c r="I126" t="s">
        <v>413</v>
      </c>
      <c r="J126" t="s">
        <v>414</v>
      </c>
      <c r="K126" t="s">
        <v>415</v>
      </c>
      <c r="L126">
        <v>1301</v>
      </c>
      <c r="N126">
        <v>1003</v>
      </c>
      <c r="O126" t="s">
        <v>26</v>
      </c>
      <c r="P126" t="s">
        <v>26</v>
      </c>
      <c r="Q126">
        <v>1</v>
      </c>
      <c r="W126">
        <v>0</v>
      </c>
      <c r="X126">
        <v>-1510087965</v>
      </c>
      <c r="Y126">
        <v>177</v>
      </c>
      <c r="AA126">
        <v>6.2</v>
      </c>
      <c r="AB126">
        <v>0</v>
      </c>
      <c r="AC126">
        <v>0</v>
      </c>
      <c r="AD126">
        <v>0</v>
      </c>
      <c r="AE126">
        <v>1.62</v>
      </c>
      <c r="AF126">
        <v>0</v>
      </c>
      <c r="AG126">
        <v>0</v>
      </c>
      <c r="AH126">
        <v>0</v>
      </c>
      <c r="AI126">
        <v>3.83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177</v>
      </c>
      <c r="AU126" t="s">
        <v>3</v>
      </c>
      <c r="AV126">
        <v>0</v>
      </c>
      <c r="AW126">
        <v>2</v>
      </c>
      <c r="AX126">
        <v>44967025</v>
      </c>
      <c r="AY126">
        <v>1</v>
      </c>
      <c r="AZ126">
        <v>0</v>
      </c>
      <c r="BA126">
        <v>123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Y126*Source!I75</f>
        <v>44.25</v>
      </c>
      <c r="CY126">
        <f t="shared" si="15"/>
        <v>6.2</v>
      </c>
      <c r="CZ126">
        <f t="shared" si="16"/>
        <v>1.62</v>
      </c>
      <c r="DA126">
        <f t="shared" si="17"/>
        <v>3.83</v>
      </c>
      <c r="DB126">
        <f t="shared" si="18"/>
        <v>286.74</v>
      </c>
      <c r="DC126">
        <f t="shared" si="19"/>
        <v>0</v>
      </c>
    </row>
    <row r="127" spans="1:107" x14ac:dyDescent="0.2">
      <c r="A127">
        <f>ROW(Source!A75)</f>
        <v>75</v>
      </c>
      <c r="B127">
        <v>44962055</v>
      </c>
      <c r="C127">
        <v>44967016</v>
      </c>
      <c r="D127">
        <v>30574380</v>
      </c>
      <c r="E127">
        <v>1</v>
      </c>
      <c r="F127">
        <v>1</v>
      </c>
      <c r="G127">
        <v>30515945</v>
      </c>
      <c r="H127">
        <v>3</v>
      </c>
      <c r="I127" t="s">
        <v>416</v>
      </c>
      <c r="J127" t="s">
        <v>417</v>
      </c>
      <c r="K127" t="s">
        <v>418</v>
      </c>
      <c r="L127">
        <v>1355</v>
      </c>
      <c r="N127">
        <v>1010</v>
      </c>
      <c r="O127" t="s">
        <v>419</v>
      </c>
      <c r="P127" t="s">
        <v>419</v>
      </c>
      <c r="Q127">
        <v>100</v>
      </c>
      <c r="W127">
        <v>0</v>
      </c>
      <c r="X127">
        <v>-1277154534</v>
      </c>
      <c r="Y127">
        <v>20.29</v>
      </c>
      <c r="AA127">
        <v>14.26</v>
      </c>
      <c r="AB127">
        <v>0</v>
      </c>
      <c r="AC127">
        <v>0</v>
      </c>
      <c r="AD127">
        <v>0</v>
      </c>
      <c r="AE127">
        <v>4.2699999999999996</v>
      </c>
      <c r="AF127">
        <v>0</v>
      </c>
      <c r="AG127">
        <v>0</v>
      </c>
      <c r="AH127">
        <v>0</v>
      </c>
      <c r="AI127">
        <v>3.34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20.29</v>
      </c>
      <c r="AU127" t="s">
        <v>3</v>
      </c>
      <c r="AV127">
        <v>0</v>
      </c>
      <c r="AW127">
        <v>2</v>
      </c>
      <c r="AX127">
        <v>44967026</v>
      </c>
      <c r="AY127">
        <v>1</v>
      </c>
      <c r="AZ127">
        <v>0</v>
      </c>
      <c r="BA127">
        <v>124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Y127*Source!I75</f>
        <v>5.0724999999999998</v>
      </c>
      <c r="CY127">
        <f t="shared" si="15"/>
        <v>14.26</v>
      </c>
      <c r="CZ127">
        <f t="shared" si="16"/>
        <v>4.2699999999999996</v>
      </c>
      <c r="DA127">
        <f t="shared" si="17"/>
        <v>3.34</v>
      </c>
      <c r="DB127">
        <f t="shared" si="18"/>
        <v>86.64</v>
      </c>
      <c r="DC127">
        <f t="shared" si="19"/>
        <v>0</v>
      </c>
    </row>
    <row r="128" spans="1:107" x14ac:dyDescent="0.2">
      <c r="A128">
        <f>ROW(Source!A75)</f>
        <v>75</v>
      </c>
      <c r="B128">
        <v>44962055</v>
      </c>
      <c r="C128">
        <v>44967016</v>
      </c>
      <c r="D128">
        <v>30574381</v>
      </c>
      <c r="E128">
        <v>1</v>
      </c>
      <c r="F128">
        <v>1</v>
      </c>
      <c r="G128">
        <v>30515945</v>
      </c>
      <c r="H128">
        <v>3</v>
      </c>
      <c r="I128" t="s">
        <v>503</v>
      </c>
      <c r="J128" t="s">
        <v>504</v>
      </c>
      <c r="K128" t="s">
        <v>505</v>
      </c>
      <c r="L128">
        <v>1355</v>
      </c>
      <c r="N128">
        <v>1010</v>
      </c>
      <c r="O128" t="s">
        <v>419</v>
      </c>
      <c r="P128" t="s">
        <v>419</v>
      </c>
      <c r="Q128">
        <v>100</v>
      </c>
      <c r="W128">
        <v>0</v>
      </c>
      <c r="X128">
        <v>-2044074071</v>
      </c>
      <c r="Y128">
        <v>35.33</v>
      </c>
      <c r="AA128">
        <v>19.170000000000002</v>
      </c>
      <c r="AB128">
        <v>0</v>
      </c>
      <c r="AC128">
        <v>0</v>
      </c>
      <c r="AD128">
        <v>0</v>
      </c>
      <c r="AE128">
        <v>5.59</v>
      </c>
      <c r="AF128">
        <v>0</v>
      </c>
      <c r="AG128">
        <v>0</v>
      </c>
      <c r="AH128">
        <v>0</v>
      </c>
      <c r="AI128">
        <v>3.43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35.33</v>
      </c>
      <c r="AU128" t="s">
        <v>3</v>
      </c>
      <c r="AV128">
        <v>0</v>
      </c>
      <c r="AW128">
        <v>2</v>
      </c>
      <c r="AX128">
        <v>44967027</v>
      </c>
      <c r="AY128">
        <v>1</v>
      </c>
      <c r="AZ128">
        <v>0</v>
      </c>
      <c r="BA128">
        <v>125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Y128*Source!I75</f>
        <v>8.8324999999999996</v>
      </c>
      <c r="CY128">
        <f t="shared" si="15"/>
        <v>19.170000000000002</v>
      </c>
      <c r="CZ128">
        <f t="shared" si="16"/>
        <v>5.59</v>
      </c>
      <c r="DA128">
        <f t="shared" si="17"/>
        <v>3.43</v>
      </c>
      <c r="DB128">
        <f t="shared" si="18"/>
        <v>197.49</v>
      </c>
      <c r="DC128">
        <f t="shared" si="19"/>
        <v>0</v>
      </c>
    </row>
    <row r="129" spans="1:107" x14ac:dyDescent="0.2">
      <c r="A129">
        <f>ROW(Source!A75)</f>
        <v>75</v>
      </c>
      <c r="B129">
        <v>44962055</v>
      </c>
      <c r="C129">
        <v>44967016</v>
      </c>
      <c r="D129">
        <v>30574383</v>
      </c>
      <c r="E129">
        <v>1</v>
      </c>
      <c r="F129">
        <v>1</v>
      </c>
      <c r="G129">
        <v>30515945</v>
      </c>
      <c r="H129">
        <v>3</v>
      </c>
      <c r="I129" t="s">
        <v>420</v>
      </c>
      <c r="J129" t="s">
        <v>421</v>
      </c>
      <c r="K129" t="s">
        <v>422</v>
      </c>
      <c r="L129">
        <v>1355</v>
      </c>
      <c r="N129">
        <v>1010</v>
      </c>
      <c r="O129" t="s">
        <v>419</v>
      </c>
      <c r="P129" t="s">
        <v>419</v>
      </c>
      <c r="Q129">
        <v>100</v>
      </c>
      <c r="W129">
        <v>0</v>
      </c>
      <c r="X129">
        <v>-757789641</v>
      </c>
      <c r="Y129">
        <v>3.38</v>
      </c>
      <c r="AA129">
        <v>62.21</v>
      </c>
      <c r="AB129">
        <v>0</v>
      </c>
      <c r="AC129">
        <v>0</v>
      </c>
      <c r="AD129">
        <v>0</v>
      </c>
      <c r="AE129">
        <v>43.81</v>
      </c>
      <c r="AF129">
        <v>0</v>
      </c>
      <c r="AG129">
        <v>0</v>
      </c>
      <c r="AH129">
        <v>0</v>
      </c>
      <c r="AI129">
        <v>1.42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3.38</v>
      </c>
      <c r="AU129" t="s">
        <v>3</v>
      </c>
      <c r="AV129">
        <v>0</v>
      </c>
      <c r="AW129">
        <v>2</v>
      </c>
      <c r="AX129">
        <v>44967028</v>
      </c>
      <c r="AY129">
        <v>1</v>
      </c>
      <c r="AZ129">
        <v>0</v>
      </c>
      <c r="BA129">
        <v>126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Y129*Source!I75</f>
        <v>0.84499999999999997</v>
      </c>
      <c r="CY129">
        <f t="shared" si="15"/>
        <v>62.21</v>
      </c>
      <c r="CZ129">
        <f t="shared" si="16"/>
        <v>43.81</v>
      </c>
      <c r="DA129">
        <f t="shared" si="17"/>
        <v>1.42</v>
      </c>
      <c r="DB129">
        <f t="shared" si="18"/>
        <v>148.08000000000001</v>
      </c>
      <c r="DC129">
        <f t="shared" si="19"/>
        <v>0</v>
      </c>
    </row>
    <row r="130" spans="1:107" x14ac:dyDescent="0.2">
      <c r="A130">
        <f>ROW(Source!A75)</f>
        <v>75</v>
      </c>
      <c r="B130">
        <v>44962055</v>
      </c>
      <c r="C130">
        <v>44967016</v>
      </c>
      <c r="D130">
        <v>30571585</v>
      </c>
      <c r="E130">
        <v>1</v>
      </c>
      <c r="F130">
        <v>1</v>
      </c>
      <c r="G130">
        <v>30515945</v>
      </c>
      <c r="H130">
        <v>3</v>
      </c>
      <c r="I130" t="s">
        <v>253</v>
      </c>
      <c r="J130" t="s">
        <v>255</v>
      </c>
      <c r="K130" t="s">
        <v>254</v>
      </c>
      <c r="L130">
        <v>1327</v>
      </c>
      <c r="N130">
        <v>1005</v>
      </c>
      <c r="O130" t="s">
        <v>36</v>
      </c>
      <c r="P130" t="s">
        <v>36</v>
      </c>
      <c r="Q130">
        <v>1</v>
      </c>
      <c r="W130">
        <v>0</v>
      </c>
      <c r="X130">
        <v>-1164420920</v>
      </c>
      <c r="Y130">
        <v>526</v>
      </c>
      <c r="AA130">
        <v>51.33</v>
      </c>
      <c r="AB130">
        <v>0</v>
      </c>
      <c r="AC130">
        <v>0</v>
      </c>
      <c r="AD130">
        <v>0</v>
      </c>
      <c r="AE130">
        <v>34.68</v>
      </c>
      <c r="AF130">
        <v>0</v>
      </c>
      <c r="AG130">
        <v>0</v>
      </c>
      <c r="AH130">
        <v>0</v>
      </c>
      <c r="AI130">
        <v>1.48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S130" t="s">
        <v>3</v>
      </c>
      <c r="AT130">
        <v>526</v>
      </c>
      <c r="AU130" t="s">
        <v>3</v>
      </c>
      <c r="AV130">
        <v>0</v>
      </c>
      <c r="AW130">
        <v>1</v>
      </c>
      <c r="AX130">
        <v>-1</v>
      </c>
      <c r="AY130">
        <v>0</v>
      </c>
      <c r="AZ130">
        <v>0</v>
      </c>
      <c r="BA130" t="s">
        <v>3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Y130*Source!I75</f>
        <v>131.5</v>
      </c>
      <c r="CY130">
        <f t="shared" si="15"/>
        <v>51.33</v>
      </c>
      <c r="CZ130">
        <f t="shared" si="16"/>
        <v>34.68</v>
      </c>
      <c r="DA130">
        <f t="shared" si="17"/>
        <v>1.48</v>
      </c>
      <c r="DB130">
        <f t="shared" si="18"/>
        <v>18241.68</v>
      </c>
      <c r="DC130">
        <f t="shared" si="19"/>
        <v>0</v>
      </c>
    </row>
    <row r="131" spans="1:107" x14ac:dyDescent="0.2">
      <c r="A131">
        <f>ROW(Source!A75)</f>
        <v>75</v>
      </c>
      <c r="B131">
        <v>44962055</v>
      </c>
      <c r="C131">
        <v>44967016</v>
      </c>
      <c r="D131">
        <v>30571860</v>
      </c>
      <c r="E131">
        <v>1</v>
      </c>
      <c r="F131">
        <v>1</v>
      </c>
      <c r="G131">
        <v>30515945</v>
      </c>
      <c r="H131">
        <v>3</v>
      </c>
      <c r="I131" t="s">
        <v>257</v>
      </c>
      <c r="J131" t="s">
        <v>259</v>
      </c>
      <c r="K131" t="s">
        <v>258</v>
      </c>
      <c r="L131">
        <v>1339</v>
      </c>
      <c r="N131">
        <v>1007</v>
      </c>
      <c r="O131" t="s">
        <v>140</v>
      </c>
      <c r="P131" t="s">
        <v>140</v>
      </c>
      <c r="Q131">
        <v>1</v>
      </c>
      <c r="W131">
        <v>0</v>
      </c>
      <c r="X131">
        <v>1133488849</v>
      </c>
      <c r="Y131">
        <v>10.3</v>
      </c>
      <c r="AA131">
        <v>3265.35</v>
      </c>
      <c r="AB131">
        <v>0</v>
      </c>
      <c r="AC131">
        <v>0</v>
      </c>
      <c r="AD131">
        <v>0</v>
      </c>
      <c r="AE131">
        <v>806.26</v>
      </c>
      <c r="AF131">
        <v>0</v>
      </c>
      <c r="AG131">
        <v>0</v>
      </c>
      <c r="AH131">
        <v>0</v>
      </c>
      <c r="AI131">
        <v>4.05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0</v>
      </c>
      <c r="AQ131">
        <v>0</v>
      </c>
      <c r="AR131">
        <v>0</v>
      </c>
      <c r="AS131" t="s">
        <v>3</v>
      </c>
      <c r="AT131">
        <v>10.3</v>
      </c>
      <c r="AU131" t="s">
        <v>3</v>
      </c>
      <c r="AV131">
        <v>0</v>
      </c>
      <c r="AW131">
        <v>1</v>
      </c>
      <c r="AX131">
        <v>-1</v>
      </c>
      <c r="AY131">
        <v>0</v>
      </c>
      <c r="AZ131">
        <v>0</v>
      </c>
      <c r="BA131" t="s">
        <v>3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Y131*Source!I75</f>
        <v>2.5750000000000002</v>
      </c>
      <c r="CY131">
        <f t="shared" si="15"/>
        <v>3265.35</v>
      </c>
      <c r="CZ131">
        <f t="shared" si="16"/>
        <v>806.26</v>
      </c>
      <c r="DA131">
        <f t="shared" si="17"/>
        <v>4.05</v>
      </c>
      <c r="DB131">
        <f t="shared" si="18"/>
        <v>8304.48</v>
      </c>
      <c r="DC131">
        <f t="shared" si="19"/>
        <v>0</v>
      </c>
    </row>
    <row r="132" spans="1:107" x14ac:dyDescent="0.2">
      <c r="A132">
        <f>ROW(Source!A75)</f>
        <v>75</v>
      </c>
      <c r="B132">
        <v>44962055</v>
      </c>
      <c r="C132">
        <v>44967016</v>
      </c>
      <c r="D132">
        <v>30589848</v>
      </c>
      <c r="E132">
        <v>1</v>
      </c>
      <c r="F132">
        <v>1</v>
      </c>
      <c r="G132">
        <v>30515945</v>
      </c>
      <c r="H132">
        <v>3</v>
      </c>
      <c r="I132" t="s">
        <v>423</v>
      </c>
      <c r="J132" t="s">
        <v>424</v>
      </c>
      <c r="K132" t="s">
        <v>425</v>
      </c>
      <c r="L132">
        <v>1346</v>
      </c>
      <c r="N132">
        <v>1009</v>
      </c>
      <c r="O132" t="s">
        <v>55</v>
      </c>
      <c r="P132" t="s">
        <v>55</v>
      </c>
      <c r="Q132">
        <v>1</v>
      </c>
      <c r="W132">
        <v>0</v>
      </c>
      <c r="X132">
        <v>1856131647</v>
      </c>
      <c r="Y132">
        <v>21</v>
      </c>
      <c r="AA132">
        <v>50.15</v>
      </c>
      <c r="AB132">
        <v>0</v>
      </c>
      <c r="AC132">
        <v>0</v>
      </c>
      <c r="AD132">
        <v>0</v>
      </c>
      <c r="AE132">
        <v>14.88</v>
      </c>
      <c r="AF132">
        <v>0</v>
      </c>
      <c r="AG132">
        <v>0</v>
      </c>
      <c r="AH132">
        <v>0</v>
      </c>
      <c r="AI132">
        <v>3.37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21</v>
      </c>
      <c r="AU132" t="s">
        <v>3</v>
      </c>
      <c r="AV132">
        <v>0</v>
      </c>
      <c r="AW132">
        <v>2</v>
      </c>
      <c r="AX132">
        <v>44967029</v>
      </c>
      <c r="AY132">
        <v>1</v>
      </c>
      <c r="AZ132">
        <v>0</v>
      </c>
      <c r="BA132">
        <v>127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Y132*Source!I75</f>
        <v>5.25</v>
      </c>
      <c r="CY132">
        <f t="shared" si="15"/>
        <v>50.15</v>
      </c>
      <c r="CZ132">
        <f t="shared" si="16"/>
        <v>14.88</v>
      </c>
      <c r="DA132">
        <f t="shared" si="17"/>
        <v>3.37</v>
      </c>
      <c r="DB132">
        <f t="shared" si="18"/>
        <v>312.48</v>
      </c>
      <c r="DC132">
        <f t="shared" si="19"/>
        <v>0</v>
      </c>
    </row>
    <row r="133" spans="1:107" x14ac:dyDescent="0.2">
      <c r="A133">
        <f>ROW(Source!A75)</f>
        <v>75</v>
      </c>
      <c r="B133">
        <v>44962055</v>
      </c>
      <c r="C133">
        <v>44967016</v>
      </c>
      <c r="D133">
        <v>30589734</v>
      </c>
      <c r="E133">
        <v>1</v>
      </c>
      <c r="F133">
        <v>1</v>
      </c>
      <c r="G133">
        <v>30515945</v>
      </c>
      <c r="H133">
        <v>3</v>
      </c>
      <c r="I133" t="s">
        <v>429</v>
      </c>
      <c r="J133" t="s">
        <v>430</v>
      </c>
      <c r="K133" t="s">
        <v>431</v>
      </c>
      <c r="L133">
        <v>1346</v>
      </c>
      <c r="N133">
        <v>1009</v>
      </c>
      <c r="O133" t="s">
        <v>55</v>
      </c>
      <c r="P133" t="s">
        <v>55</v>
      </c>
      <c r="Q133">
        <v>1</v>
      </c>
      <c r="W133">
        <v>0</v>
      </c>
      <c r="X133">
        <v>2092132850</v>
      </c>
      <c r="Y133">
        <v>149</v>
      </c>
      <c r="AA133">
        <v>14.22</v>
      </c>
      <c r="AB133">
        <v>0</v>
      </c>
      <c r="AC133">
        <v>0</v>
      </c>
      <c r="AD133">
        <v>0</v>
      </c>
      <c r="AE133">
        <v>5.19</v>
      </c>
      <c r="AF133">
        <v>0</v>
      </c>
      <c r="AG133">
        <v>0</v>
      </c>
      <c r="AH133">
        <v>0</v>
      </c>
      <c r="AI133">
        <v>2.74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149</v>
      </c>
      <c r="AU133" t="s">
        <v>3</v>
      </c>
      <c r="AV133">
        <v>0</v>
      </c>
      <c r="AW133">
        <v>2</v>
      </c>
      <c r="AX133">
        <v>44967030</v>
      </c>
      <c r="AY133">
        <v>1</v>
      </c>
      <c r="AZ133">
        <v>0</v>
      </c>
      <c r="BA133">
        <v>128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Y133*Source!I75</f>
        <v>37.25</v>
      </c>
      <c r="CY133">
        <f t="shared" si="15"/>
        <v>14.22</v>
      </c>
      <c r="CZ133">
        <f t="shared" si="16"/>
        <v>5.19</v>
      </c>
      <c r="DA133">
        <f t="shared" si="17"/>
        <v>2.74</v>
      </c>
      <c r="DB133">
        <f t="shared" si="18"/>
        <v>773.31</v>
      </c>
      <c r="DC133">
        <f t="shared" si="19"/>
        <v>0</v>
      </c>
    </row>
    <row r="134" spans="1:107" x14ac:dyDescent="0.2">
      <c r="A134">
        <f>ROW(Source!A75)</f>
        <v>75</v>
      </c>
      <c r="B134">
        <v>44962055</v>
      </c>
      <c r="C134">
        <v>44967016</v>
      </c>
      <c r="D134">
        <v>30593482</v>
      </c>
      <c r="E134">
        <v>1</v>
      </c>
      <c r="F134">
        <v>1</v>
      </c>
      <c r="G134">
        <v>30515945</v>
      </c>
      <c r="H134">
        <v>3</v>
      </c>
      <c r="I134" t="s">
        <v>245</v>
      </c>
      <c r="J134" t="s">
        <v>247</v>
      </c>
      <c r="K134" t="s">
        <v>246</v>
      </c>
      <c r="L134">
        <v>1301</v>
      </c>
      <c r="N134">
        <v>1003</v>
      </c>
      <c r="O134" t="s">
        <v>26</v>
      </c>
      <c r="P134" t="s">
        <v>26</v>
      </c>
      <c r="Q134">
        <v>1</v>
      </c>
      <c r="W134">
        <v>0</v>
      </c>
      <c r="X134">
        <v>-840677519</v>
      </c>
      <c r="Y134">
        <v>407</v>
      </c>
      <c r="AA134">
        <v>65.099999999999994</v>
      </c>
      <c r="AB134">
        <v>0</v>
      </c>
      <c r="AC134">
        <v>0</v>
      </c>
      <c r="AD134">
        <v>0</v>
      </c>
      <c r="AE134">
        <v>28.06</v>
      </c>
      <c r="AF134">
        <v>0</v>
      </c>
      <c r="AG134">
        <v>0</v>
      </c>
      <c r="AH134">
        <v>0</v>
      </c>
      <c r="AI134">
        <v>2.3199999999999998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 t="s">
        <v>3</v>
      </c>
      <c r="AT134">
        <v>407</v>
      </c>
      <c r="AU134" t="s">
        <v>3</v>
      </c>
      <c r="AV134">
        <v>0</v>
      </c>
      <c r="AW134">
        <v>1</v>
      </c>
      <c r="AX134">
        <v>-1</v>
      </c>
      <c r="AY134">
        <v>0</v>
      </c>
      <c r="AZ134">
        <v>0</v>
      </c>
      <c r="BA134" t="s">
        <v>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Y134*Source!I75</f>
        <v>101.75</v>
      </c>
      <c r="CY134">
        <f t="shared" si="15"/>
        <v>65.099999999999994</v>
      </c>
      <c r="CZ134">
        <f t="shared" si="16"/>
        <v>28.06</v>
      </c>
      <c r="DA134">
        <f t="shared" si="17"/>
        <v>2.3199999999999998</v>
      </c>
      <c r="DB134">
        <f t="shared" si="18"/>
        <v>11420.42</v>
      </c>
      <c r="DC134">
        <f t="shared" si="19"/>
        <v>0</v>
      </c>
    </row>
    <row r="135" spans="1:107" x14ac:dyDescent="0.2">
      <c r="A135">
        <f>ROW(Source!A75)</f>
        <v>75</v>
      </c>
      <c r="B135">
        <v>44962055</v>
      </c>
      <c r="C135">
        <v>44967016</v>
      </c>
      <c r="D135">
        <v>30593486</v>
      </c>
      <c r="E135">
        <v>1</v>
      </c>
      <c r="F135">
        <v>1</v>
      </c>
      <c r="G135">
        <v>30515945</v>
      </c>
      <c r="H135">
        <v>3</v>
      </c>
      <c r="I135" t="s">
        <v>249</v>
      </c>
      <c r="J135" t="s">
        <v>251</v>
      </c>
      <c r="K135" t="s">
        <v>250</v>
      </c>
      <c r="L135">
        <v>1301</v>
      </c>
      <c r="N135">
        <v>1003</v>
      </c>
      <c r="O135" t="s">
        <v>26</v>
      </c>
      <c r="P135" t="s">
        <v>26</v>
      </c>
      <c r="Q135">
        <v>1</v>
      </c>
      <c r="W135">
        <v>0</v>
      </c>
      <c r="X135">
        <v>521611865</v>
      </c>
      <c r="Y135">
        <v>151</v>
      </c>
      <c r="AA135">
        <v>75.209999999999994</v>
      </c>
      <c r="AB135">
        <v>0</v>
      </c>
      <c r="AC135">
        <v>0</v>
      </c>
      <c r="AD135">
        <v>0</v>
      </c>
      <c r="AE135">
        <v>25.67</v>
      </c>
      <c r="AF135">
        <v>0</v>
      </c>
      <c r="AG135">
        <v>0</v>
      </c>
      <c r="AH135">
        <v>0</v>
      </c>
      <c r="AI135">
        <v>2.93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 t="s">
        <v>3</v>
      </c>
      <c r="AT135">
        <v>151</v>
      </c>
      <c r="AU135" t="s">
        <v>3</v>
      </c>
      <c r="AV135">
        <v>0</v>
      </c>
      <c r="AW135">
        <v>1</v>
      </c>
      <c r="AX135">
        <v>-1</v>
      </c>
      <c r="AY135">
        <v>0</v>
      </c>
      <c r="AZ135">
        <v>0</v>
      </c>
      <c r="BA135" t="s">
        <v>3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Y135*Source!I75</f>
        <v>37.75</v>
      </c>
      <c r="CY135">
        <f t="shared" si="15"/>
        <v>75.209999999999994</v>
      </c>
      <c r="CZ135">
        <f t="shared" si="16"/>
        <v>25.67</v>
      </c>
      <c r="DA135">
        <f t="shared" si="17"/>
        <v>2.93</v>
      </c>
      <c r="DB135">
        <f t="shared" si="18"/>
        <v>3876.17</v>
      </c>
      <c r="DC135">
        <f t="shared" si="19"/>
        <v>0</v>
      </c>
    </row>
    <row r="136" spans="1:107" x14ac:dyDescent="0.2">
      <c r="A136">
        <f>ROW(Source!A75)</f>
        <v>75</v>
      </c>
      <c r="B136">
        <v>44962055</v>
      </c>
      <c r="C136">
        <v>44967016</v>
      </c>
      <c r="D136">
        <v>30534135</v>
      </c>
      <c r="E136">
        <v>30515945</v>
      </c>
      <c r="F136">
        <v>1</v>
      </c>
      <c r="G136">
        <v>30515945</v>
      </c>
      <c r="H136">
        <v>3</v>
      </c>
      <c r="I136" t="s">
        <v>242</v>
      </c>
      <c r="J136" t="s">
        <v>3</v>
      </c>
      <c r="K136" t="s">
        <v>243</v>
      </c>
      <c r="L136">
        <v>1301</v>
      </c>
      <c r="N136">
        <v>1003</v>
      </c>
      <c r="O136" t="s">
        <v>26</v>
      </c>
      <c r="P136" t="s">
        <v>26</v>
      </c>
      <c r="Q136">
        <v>1</v>
      </c>
      <c r="W136">
        <v>0</v>
      </c>
      <c r="X136">
        <v>476297558</v>
      </c>
      <c r="Y136">
        <v>267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 t="s">
        <v>3</v>
      </c>
      <c r="AT136">
        <v>267</v>
      </c>
      <c r="AU136" t="s">
        <v>3</v>
      </c>
      <c r="AV136">
        <v>0</v>
      </c>
      <c r="AW136">
        <v>2</v>
      </c>
      <c r="AX136">
        <v>44967031</v>
      </c>
      <c r="AY136">
        <v>1</v>
      </c>
      <c r="AZ136">
        <v>0</v>
      </c>
      <c r="BA136">
        <v>129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Y136*Source!I75</f>
        <v>66.75</v>
      </c>
      <c r="CY136">
        <f t="shared" si="15"/>
        <v>0</v>
      </c>
      <c r="CZ136">
        <f t="shared" si="16"/>
        <v>0</v>
      </c>
      <c r="DA136">
        <f t="shared" si="17"/>
        <v>1</v>
      </c>
      <c r="DB136">
        <f t="shared" si="18"/>
        <v>0</v>
      </c>
      <c r="DC136">
        <f t="shared" si="19"/>
        <v>0</v>
      </c>
    </row>
    <row r="137" spans="1:107" x14ac:dyDescent="0.2">
      <c r="A137">
        <f>ROW(Source!A81)</f>
        <v>81</v>
      </c>
      <c r="B137">
        <v>44962055</v>
      </c>
      <c r="C137">
        <v>44964373</v>
      </c>
      <c r="D137">
        <v>30515951</v>
      </c>
      <c r="E137">
        <v>30515945</v>
      </c>
      <c r="F137">
        <v>1</v>
      </c>
      <c r="G137">
        <v>30515945</v>
      </c>
      <c r="H137">
        <v>1</v>
      </c>
      <c r="I137" t="s">
        <v>388</v>
      </c>
      <c r="J137" t="s">
        <v>3</v>
      </c>
      <c r="K137" t="s">
        <v>389</v>
      </c>
      <c r="L137">
        <v>1191</v>
      </c>
      <c r="N137">
        <v>1013</v>
      </c>
      <c r="O137" t="s">
        <v>390</v>
      </c>
      <c r="P137" t="s">
        <v>390</v>
      </c>
      <c r="Q137">
        <v>1</v>
      </c>
      <c r="W137">
        <v>0</v>
      </c>
      <c r="X137">
        <v>476480486</v>
      </c>
      <c r="Y137">
        <v>64.606999999999999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S137" t="s">
        <v>3</v>
      </c>
      <c r="AT137">
        <v>56.18</v>
      </c>
      <c r="AU137" t="s">
        <v>18</v>
      </c>
      <c r="AV137">
        <v>1</v>
      </c>
      <c r="AW137">
        <v>2</v>
      </c>
      <c r="AX137">
        <v>44964385</v>
      </c>
      <c r="AY137">
        <v>1</v>
      </c>
      <c r="AZ137">
        <v>0</v>
      </c>
      <c r="BA137">
        <v>134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Y137*Source!I81</f>
        <v>12.9214</v>
      </c>
      <c r="CY137">
        <f>AD137</f>
        <v>0</v>
      </c>
      <c r="CZ137">
        <f>AH137</f>
        <v>0</v>
      </c>
      <c r="DA137">
        <f>AL137</f>
        <v>1</v>
      </c>
      <c r="DB137">
        <f>ROUND((ROUND(AT137*CZ137,2)*1.15),6)</f>
        <v>0</v>
      </c>
      <c r="DC137">
        <f>ROUND((ROUND(AT137*AG137,2)*1.15),6)</f>
        <v>0</v>
      </c>
    </row>
    <row r="138" spans="1:107" x14ac:dyDescent="0.2">
      <c r="A138">
        <f>ROW(Source!A81)</f>
        <v>81</v>
      </c>
      <c r="B138">
        <v>44962055</v>
      </c>
      <c r="C138">
        <v>44964373</v>
      </c>
      <c r="D138">
        <v>30596074</v>
      </c>
      <c r="E138">
        <v>1</v>
      </c>
      <c r="F138">
        <v>1</v>
      </c>
      <c r="G138">
        <v>30515945</v>
      </c>
      <c r="H138">
        <v>2</v>
      </c>
      <c r="I138" t="s">
        <v>391</v>
      </c>
      <c r="J138" t="s">
        <v>392</v>
      </c>
      <c r="K138" t="s">
        <v>393</v>
      </c>
      <c r="L138">
        <v>1367</v>
      </c>
      <c r="N138">
        <v>1011</v>
      </c>
      <c r="O138" t="s">
        <v>394</v>
      </c>
      <c r="P138" t="s">
        <v>394</v>
      </c>
      <c r="Q138">
        <v>1</v>
      </c>
      <c r="W138">
        <v>0</v>
      </c>
      <c r="X138">
        <v>-628430174</v>
      </c>
      <c r="Y138">
        <v>0.23749999999999999</v>
      </c>
      <c r="AA138">
        <v>0</v>
      </c>
      <c r="AB138">
        <v>666.27</v>
      </c>
      <c r="AC138">
        <v>318.43</v>
      </c>
      <c r="AD138">
        <v>0</v>
      </c>
      <c r="AE138">
        <v>0</v>
      </c>
      <c r="AF138">
        <v>76.81</v>
      </c>
      <c r="AG138">
        <v>14.36</v>
      </c>
      <c r="AH138">
        <v>0</v>
      </c>
      <c r="AI138">
        <v>1</v>
      </c>
      <c r="AJ138">
        <v>7.98</v>
      </c>
      <c r="AK138">
        <v>20.399999999999999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S138" t="s">
        <v>3</v>
      </c>
      <c r="AT138">
        <v>0.19</v>
      </c>
      <c r="AU138" t="s">
        <v>17</v>
      </c>
      <c r="AV138">
        <v>0</v>
      </c>
      <c r="AW138">
        <v>2</v>
      </c>
      <c r="AX138">
        <v>44964386</v>
      </c>
      <c r="AY138">
        <v>1</v>
      </c>
      <c r="AZ138">
        <v>0</v>
      </c>
      <c r="BA138">
        <v>135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Y138*Source!I81</f>
        <v>4.7500000000000001E-2</v>
      </c>
      <c r="CY138">
        <f>AB138</f>
        <v>666.27</v>
      </c>
      <c r="CZ138">
        <f>AF138</f>
        <v>76.81</v>
      </c>
      <c r="DA138">
        <f>AJ138</f>
        <v>7.98</v>
      </c>
      <c r="DB138">
        <f>ROUND((ROUND(AT138*CZ138,2)*1.25),6)</f>
        <v>18.237500000000001</v>
      </c>
      <c r="DC138">
        <f>ROUND((ROUND(AT138*AG138,2)*1.25),6)</f>
        <v>3.4125000000000001</v>
      </c>
    </row>
    <row r="139" spans="1:107" x14ac:dyDescent="0.2">
      <c r="A139">
        <f>ROW(Source!A81)</f>
        <v>81</v>
      </c>
      <c r="B139">
        <v>44962055</v>
      </c>
      <c r="C139">
        <v>44964373</v>
      </c>
      <c r="D139">
        <v>30596197</v>
      </c>
      <c r="E139">
        <v>1</v>
      </c>
      <c r="F139">
        <v>1</v>
      </c>
      <c r="G139">
        <v>30515945</v>
      </c>
      <c r="H139">
        <v>2</v>
      </c>
      <c r="I139" t="s">
        <v>395</v>
      </c>
      <c r="J139" t="s">
        <v>396</v>
      </c>
      <c r="K139" t="s">
        <v>397</v>
      </c>
      <c r="L139">
        <v>1367</v>
      </c>
      <c r="N139">
        <v>1011</v>
      </c>
      <c r="O139" t="s">
        <v>394</v>
      </c>
      <c r="P139" t="s">
        <v>394</v>
      </c>
      <c r="Q139">
        <v>1</v>
      </c>
      <c r="W139">
        <v>0</v>
      </c>
      <c r="X139">
        <v>593980231</v>
      </c>
      <c r="Y139">
        <v>4.5</v>
      </c>
      <c r="AA139">
        <v>0</v>
      </c>
      <c r="AB139">
        <v>8.23</v>
      </c>
      <c r="AC139">
        <v>0.89</v>
      </c>
      <c r="AD139">
        <v>0</v>
      </c>
      <c r="AE139">
        <v>0</v>
      </c>
      <c r="AF139">
        <v>2.36</v>
      </c>
      <c r="AG139">
        <v>0.04</v>
      </c>
      <c r="AH139">
        <v>0</v>
      </c>
      <c r="AI139">
        <v>1</v>
      </c>
      <c r="AJ139">
        <v>3.21</v>
      </c>
      <c r="AK139">
        <v>20.399999999999999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S139" t="s">
        <v>3</v>
      </c>
      <c r="AT139">
        <v>3.6</v>
      </c>
      <c r="AU139" t="s">
        <v>17</v>
      </c>
      <c r="AV139">
        <v>0</v>
      </c>
      <c r="AW139">
        <v>2</v>
      </c>
      <c r="AX139">
        <v>44964387</v>
      </c>
      <c r="AY139">
        <v>1</v>
      </c>
      <c r="AZ139">
        <v>0</v>
      </c>
      <c r="BA139">
        <v>136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Y139*Source!I81</f>
        <v>0.9</v>
      </c>
      <c r="CY139">
        <f>AB139</f>
        <v>8.23</v>
      </c>
      <c r="CZ139">
        <f>AF139</f>
        <v>2.36</v>
      </c>
      <c r="DA139">
        <f>AJ139</f>
        <v>3.21</v>
      </c>
      <c r="DB139">
        <f>ROUND((ROUND(AT139*CZ139,2)*1.25),6)</f>
        <v>10.625</v>
      </c>
      <c r="DC139">
        <f>ROUND((ROUND(AT139*AG139,2)*1.25),6)</f>
        <v>0.17499999999999999</v>
      </c>
    </row>
    <row r="140" spans="1:107" x14ac:dyDescent="0.2">
      <c r="A140">
        <f>ROW(Source!A81)</f>
        <v>81</v>
      </c>
      <c r="B140">
        <v>44962055</v>
      </c>
      <c r="C140">
        <v>44964373</v>
      </c>
      <c r="D140">
        <v>30596128</v>
      </c>
      <c r="E140">
        <v>1</v>
      </c>
      <c r="F140">
        <v>1</v>
      </c>
      <c r="G140">
        <v>30515945</v>
      </c>
      <c r="H140">
        <v>2</v>
      </c>
      <c r="I140" t="s">
        <v>506</v>
      </c>
      <c r="J140" t="s">
        <v>507</v>
      </c>
      <c r="K140" t="s">
        <v>508</v>
      </c>
      <c r="L140">
        <v>1367</v>
      </c>
      <c r="N140">
        <v>1011</v>
      </c>
      <c r="O140" t="s">
        <v>394</v>
      </c>
      <c r="P140" t="s">
        <v>394</v>
      </c>
      <c r="Q140">
        <v>1</v>
      </c>
      <c r="W140">
        <v>0</v>
      </c>
      <c r="X140">
        <v>2073069139</v>
      </c>
      <c r="Y140">
        <v>0.375</v>
      </c>
      <c r="AA140">
        <v>0</v>
      </c>
      <c r="AB140">
        <v>4.2699999999999996</v>
      </c>
      <c r="AC140">
        <v>0.67</v>
      </c>
      <c r="AD140">
        <v>0</v>
      </c>
      <c r="AE140">
        <v>0</v>
      </c>
      <c r="AF140">
        <v>0.81</v>
      </c>
      <c r="AG140">
        <v>0.03</v>
      </c>
      <c r="AH140">
        <v>0</v>
      </c>
      <c r="AI140">
        <v>1</v>
      </c>
      <c r="AJ140">
        <v>4.8499999999999996</v>
      </c>
      <c r="AK140">
        <v>20.399999999999999</v>
      </c>
      <c r="AL140">
        <v>1</v>
      </c>
      <c r="AN140">
        <v>0</v>
      </c>
      <c r="AO140">
        <v>1</v>
      </c>
      <c r="AP140">
        <v>1</v>
      </c>
      <c r="AQ140">
        <v>0</v>
      </c>
      <c r="AR140">
        <v>0</v>
      </c>
      <c r="AS140" t="s">
        <v>3</v>
      </c>
      <c r="AT140">
        <v>0.3</v>
      </c>
      <c r="AU140" t="s">
        <v>17</v>
      </c>
      <c r="AV140">
        <v>0</v>
      </c>
      <c r="AW140">
        <v>2</v>
      </c>
      <c r="AX140">
        <v>44964388</v>
      </c>
      <c r="AY140">
        <v>1</v>
      </c>
      <c r="AZ140">
        <v>0</v>
      </c>
      <c r="BA140">
        <v>137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Y140*Source!I81</f>
        <v>7.5000000000000011E-2</v>
      </c>
      <c r="CY140">
        <f>AB140</f>
        <v>4.2699999999999996</v>
      </c>
      <c r="CZ140">
        <f>AF140</f>
        <v>0.81</v>
      </c>
      <c r="DA140">
        <f>AJ140</f>
        <v>4.8499999999999996</v>
      </c>
      <c r="DB140">
        <f>ROUND((ROUND(AT140*CZ140,2)*1.25),6)</f>
        <v>0.3</v>
      </c>
      <c r="DC140">
        <f>ROUND((ROUND(AT140*AG140,2)*1.25),6)</f>
        <v>1.2500000000000001E-2</v>
      </c>
    </row>
    <row r="141" spans="1:107" x14ac:dyDescent="0.2">
      <c r="A141">
        <f>ROW(Source!A81)</f>
        <v>81</v>
      </c>
      <c r="B141">
        <v>44962055</v>
      </c>
      <c r="C141">
        <v>44964373</v>
      </c>
      <c r="D141">
        <v>30573285</v>
      </c>
      <c r="E141">
        <v>1</v>
      </c>
      <c r="F141">
        <v>1</v>
      </c>
      <c r="G141">
        <v>30515945</v>
      </c>
      <c r="H141">
        <v>3</v>
      </c>
      <c r="I141" t="s">
        <v>509</v>
      </c>
      <c r="J141" t="s">
        <v>510</v>
      </c>
      <c r="K141" t="s">
        <v>511</v>
      </c>
      <c r="L141">
        <v>1296</v>
      </c>
      <c r="N141">
        <v>1002</v>
      </c>
      <c r="O141" t="s">
        <v>512</v>
      </c>
      <c r="P141" t="s">
        <v>512</v>
      </c>
      <c r="Q141">
        <v>1</v>
      </c>
      <c r="W141">
        <v>0</v>
      </c>
      <c r="X141">
        <v>1960333545</v>
      </c>
      <c r="Y141">
        <v>2.6</v>
      </c>
      <c r="AA141">
        <v>195.58</v>
      </c>
      <c r="AB141">
        <v>0</v>
      </c>
      <c r="AC141">
        <v>0</v>
      </c>
      <c r="AD141">
        <v>0</v>
      </c>
      <c r="AE141">
        <v>177.8</v>
      </c>
      <c r="AF141">
        <v>0</v>
      </c>
      <c r="AG141">
        <v>0</v>
      </c>
      <c r="AH141">
        <v>0</v>
      </c>
      <c r="AI141">
        <v>1.1000000000000001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2.6</v>
      </c>
      <c r="AU141" t="s">
        <v>3</v>
      </c>
      <c r="AV141">
        <v>0</v>
      </c>
      <c r="AW141">
        <v>2</v>
      </c>
      <c r="AX141">
        <v>44964389</v>
      </c>
      <c r="AY141">
        <v>1</v>
      </c>
      <c r="AZ141">
        <v>0</v>
      </c>
      <c r="BA141">
        <v>138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Y141*Source!I81</f>
        <v>0.52</v>
      </c>
      <c r="CY141">
        <f t="shared" ref="CY141:CY147" si="20">AA141</f>
        <v>195.58</v>
      </c>
      <c r="CZ141">
        <f t="shared" ref="CZ141:CZ147" si="21">AE141</f>
        <v>177.8</v>
      </c>
      <c r="DA141">
        <f t="shared" ref="DA141:DA147" si="22">AI141</f>
        <v>1.1000000000000001</v>
      </c>
      <c r="DB141">
        <f t="shared" ref="DB141:DB147" si="23">ROUND(ROUND(AT141*CZ141,2),6)</f>
        <v>462.28</v>
      </c>
      <c r="DC141">
        <f t="shared" ref="DC141:DC147" si="24">ROUND(ROUND(AT141*AG141,2),6)</f>
        <v>0</v>
      </c>
    </row>
    <row r="142" spans="1:107" x14ac:dyDescent="0.2">
      <c r="A142">
        <f>ROW(Source!A81)</f>
        <v>81</v>
      </c>
      <c r="B142">
        <v>44962055</v>
      </c>
      <c r="C142">
        <v>44964373</v>
      </c>
      <c r="D142">
        <v>30574229</v>
      </c>
      <c r="E142">
        <v>1</v>
      </c>
      <c r="F142">
        <v>1</v>
      </c>
      <c r="G142">
        <v>30515945</v>
      </c>
      <c r="H142">
        <v>3</v>
      </c>
      <c r="I142" t="s">
        <v>513</v>
      </c>
      <c r="J142" t="s">
        <v>514</v>
      </c>
      <c r="K142" t="s">
        <v>515</v>
      </c>
      <c r="L142">
        <v>1296</v>
      </c>
      <c r="N142">
        <v>1002</v>
      </c>
      <c r="O142" t="s">
        <v>512</v>
      </c>
      <c r="P142" t="s">
        <v>512</v>
      </c>
      <c r="Q142">
        <v>1</v>
      </c>
      <c r="W142">
        <v>0</v>
      </c>
      <c r="X142">
        <v>2079983373</v>
      </c>
      <c r="Y142">
        <v>6.1</v>
      </c>
      <c r="AA142">
        <v>462.69</v>
      </c>
      <c r="AB142">
        <v>0</v>
      </c>
      <c r="AC142">
        <v>0</v>
      </c>
      <c r="AD142">
        <v>0</v>
      </c>
      <c r="AE142">
        <v>125.73</v>
      </c>
      <c r="AF142">
        <v>0</v>
      </c>
      <c r="AG142">
        <v>0</v>
      </c>
      <c r="AH142">
        <v>0</v>
      </c>
      <c r="AI142">
        <v>3.68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6.1</v>
      </c>
      <c r="AU142" t="s">
        <v>3</v>
      </c>
      <c r="AV142">
        <v>0</v>
      </c>
      <c r="AW142">
        <v>2</v>
      </c>
      <c r="AX142">
        <v>44964390</v>
      </c>
      <c r="AY142">
        <v>1</v>
      </c>
      <c r="AZ142">
        <v>0</v>
      </c>
      <c r="BA142">
        <v>139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Y142*Source!I81</f>
        <v>1.22</v>
      </c>
      <c r="CY142">
        <f t="shared" si="20"/>
        <v>462.69</v>
      </c>
      <c r="CZ142">
        <f t="shared" si="21"/>
        <v>125.73</v>
      </c>
      <c r="DA142">
        <f t="shared" si="22"/>
        <v>3.68</v>
      </c>
      <c r="DB142">
        <f t="shared" si="23"/>
        <v>766.95</v>
      </c>
      <c r="DC142">
        <f t="shared" si="24"/>
        <v>0</v>
      </c>
    </row>
    <row r="143" spans="1:107" x14ac:dyDescent="0.2">
      <c r="A143">
        <f>ROW(Source!A81)</f>
        <v>81</v>
      </c>
      <c r="B143">
        <v>44962055</v>
      </c>
      <c r="C143">
        <v>44964373</v>
      </c>
      <c r="D143">
        <v>30571149</v>
      </c>
      <c r="E143">
        <v>1</v>
      </c>
      <c r="F143">
        <v>1</v>
      </c>
      <c r="G143">
        <v>30515945</v>
      </c>
      <c r="H143">
        <v>3</v>
      </c>
      <c r="I143" t="s">
        <v>516</v>
      </c>
      <c r="J143" t="s">
        <v>517</v>
      </c>
      <c r="K143" t="s">
        <v>518</v>
      </c>
      <c r="L143">
        <v>1339</v>
      </c>
      <c r="N143">
        <v>1007</v>
      </c>
      <c r="O143" t="s">
        <v>140</v>
      </c>
      <c r="P143" t="s">
        <v>140</v>
      </c>
      <c r="Q143">
        <v>1</v>
      </c>
      <c r="W143">
        <v>0</v>
      </c>
      <c r="X143">
        <v>1611452634</v>
      </c>
      <c r="Y143">
        <v>1.6000000000000001E-3</v>
      </c>
      <c r="AA143">
        <v>6279.21</v>
      </c>
      <c r="AB143">
        <v>0</v>
      </c>
      <c r="AC143">
        <v>0</v>
      </c>
      <c r="AD143">
        <v>0</v>
      </c>
      <c r="AE143">
        <v>2472.13</v>
      </c>
      <c r="AF143">
        <v>0</v>
      </c>
      <c r="AG143">
        <v>0</v>
      </c>
      <c r="AH143">
        <v>0</v>
      </c>
      <c r="AI143">
        <v>2.54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1.6000000000000001E-3</v>
      </c>
      <c r="AU143" t="s">
        <v>3</v>
      </c>
      <c r="AV143">
        <v>0</v>
      </c>
      <c r="AW143">
        <v>2</v>
      </c>
      <c r="AX143">
        <v>44964391</v>
      </c>
      <c r="AY143">
        <v>1</v>
      </c>
      <c r="AZ143">
        <v>0</v>
      </c>
      <c r="BA143">
        <v>140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Y143*Source!I81</f>
        <v>3.2000000000000003E-4</v>
      </c>
      <c r="CY143">
        <f t="shared" si="20"/>
        <v>6279.21</v>
      </c>
      <c r="CZ143">
        <f t="shared" si="21"/>
        <v>2472.13</v>
      </c>
      <c r="DA143">
        <f t="shared" si="22"/>
        <v>2.54</v>
      </c>
      <c r="DB143">
        <f t="shared" si="23"/>
        <v>3.96</v>
      </c>
      <c r="DC143">
        <f t="shared" si="24"/>
        <v>0</v>
      </c>
    </row>
    <row r="144" spans="1:107" x14ac:dyDescent="0.2">
      <c r="A144">
        <f>ROW(Source!A81)</f>
        <v>81</v>
      </c>
      <c r="B144">
        <v>44962055</v>
      </c>
      <c r="C144">
        <v>44964373</v>
      </c>
      <c r="D144">
        <v>30589692</v>
      </c>
      <c r="E144">
        <v>1</v>
      </c>
      <c r="F144">
        <v>1</v>
      </c>
      <c r="G144">
        <v>30515945</v>
      </c>
      <c r="H144">
        <v>3</v>
      </c>
      <c r="I144" t="s">
        <v>519</v>
      </c>
      <c r="J144" t="s">
        <v>520</v>
      </c>
      <c r="K144" t="s">
        <v>521</v>
      </c>
      <c r="L144">
        <v>1339</v>
      </c>
      <c r="N144">
        <v>1007</v>
      </c>
      <c r="O144" t="s">
        <v>140</v>
      </c>
      <c r="P144" t="s">
        <v>140</v>
      </c>
      <c r="Q144">
        <v>1</v>
      </c>
      <c r="W144">
        <v>0</v>
      </c>
      <c r="X144">
        <v>-1161195218</v>
      </c>
      <c r="Y144">
        <v>0.01</v>
      </c>
      <c r="AA144">
        <v>3175.5</v>
      </c>
      <c r="AB144">
        <v>0</v>
      </c>
      <c r="AC144">
        <v>0</v>
      </c>
      <c r="AD144">
        <v>0</v>
      </c>
      <c r="AE144">
        <v>478.96</v>
      </c>
      <c r="AF144">
        <v>0</v>
      </c>
      <c r="AG144">
        <v>0</v>
      </c>
      <c r="AH144">
        <v>0</v>
      </c>
      <c r="AI144">
        <v>6.63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0.01</v>
      </c>
      <c r="AU144" t="s">
        <v>3</v>
      </c>
      <c r="AV144">
        <v>0</v>
      </c>
      <c r="AW144">
        <v>2</v>
      </c>
      <c r="AX144">
        <v>44964392</v>
      </c>
      <c r="AY144">
        <v>1</v>
      </c>
      <c r="AZ144">
        <v>0</v>
      </c>
      <c r="BA144">
        <v>141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Y144*Source!I81</f>
        <v>2E-3</v>
      </c>
      <c r="CY144">
        <f t="shared" si="20"/>
        <v>3175.5</v>
      </c>
      <c r="CZ144">
        <f t="shared" si="21"/>
        <v>478.96</v>
      </c>
      <c r="DA144">
        <f t="shared" si="22"/>
        <v>6.63</v>
      </c>
      <c r="DB144">
        <f t="shared" si="23"/>
        <v>4.79</v>
      </c>
      <c r="DC144">
        <f t="shared" si="24"/>
        <v>0</v>
      </c>
    </row>
    <row r="145" spans="1:107" x14ac:dyDescent="0.2">
      <c r="A145">
        <f>ROW(Source!A81)</f>
        <v>81</v>
      </c>
      <c r="B145">
        <v>44962055</v>
      </c>
      <c r="C145">
        <v>44964373</v>
      </c>
      <c r="D145">
        <v>30593335</v>
      </c>
      <c r="E145">
        <v>1</v>
      </c>
      <c r="F145">
        <v>1</v>
      </c>
      <c r="G145">
        <v>30515945</v>
      </c>
      <c r="H145">
        <v>3</v>
      </c>
      <c r="I145" t="s">
        <v>268</v>
      </c>
      <c r="J145" t="s">
        <v>271</v>
      </c>
      <c r="K145" t="s">
        <v>269</v>
      </c>
      <c r="L145">
        <v>1354</v>
      </c>
      <c r="N145">
        <v>1010</v>
      </c>
      <c r="O145" t="s">
        <v>270</v>
      </c>
      <c r="P145" t="s">
        <v>270</v>
      </c>
      <c r="Q145">
        <v>1</v>
      </c>
      <c r="W145">
        <v>0</v>
      </c>
      <c r="X145">
        <v>1452044937</v>
      </c>
      <c r="Y145">
        <v>10</v>
      </c>
      <c r="AA145">
        <v>14316.92</v>
      </c>
      <c r="AB145">
        <v>0</v>
      </c>
      <c r="AC145">
        <v>0</v>
      </c>
      <c r="AD145">
        <v>0</v>
      </c>
      <c r="AE145">
        <v>7495.77</v>
      </c>
      <c r="AF145">
        <v>0</v>
      </c>
      <c r="AG145">
        <v>0</v>
      </c>
      <c r="AH145">
        <v>0</v>
      </c>
      <c r="AI145">
        <v>1.91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0</v>
      </c>
      <c r="AQ145">
        <v>0</v>
      </c>
      <c r="AR145">
        <v>0</v>
      </c>
      <c r="AS145" t="s">
        <v>3</v>
      </c>
      <c r="AT145">
        <v>10</v>
      </c>
      <c r="AU145" t="s">
        <v>3</v>
      </c>
      <c r="AV145">
        <v>0</v>
      </c>
      <c r="AW145">
        <v>1</v>
      </c>
      <c r="AX145">
        <v>-1</v>
      </c>
      <c r="AY145">
        <v>0</v>
      </c>
      <c r="AZ145">
        <v>0</v>
      </c>
      <c r="BA145" t="s">
        <v>3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Y145*Source!I81</f>
        <v>2</v>
      </c>
      <c r="CY145">
        <f t="shared" si="20"/>
        <v>14316.92</v>
      </c>
      <c r="CZ145">
        <f t="shared" si="21"/>
        <v>7495.77</v>
      </c>
      <c r="DA145">
        <f t="shared" si="22"/>
        <v>1.91</v>
      </c>
      <c r="DB145">
        <f t="shared" si="23"/>
        <v>74957.7</v>
      </c>
      <c r="DC145">
        <f t="shared" si="24"/>
        <v>0</v>
      </c>
    </row>
    <row r="146" spans="1:107" x14ac:dyDescent="0.2">
      <c r="A146">
        <f>ROW(Source!A81)</f>
        <v>81</v>
      </c>
      <c r="B146">
        <v>44962055</v>
      </c>
      <c r="C146">
        <v>44964373</v>
      </c>
      <c r="D146">
        <v>38720055</v>
      </c>
      <c r="E146">
        <v>1</v>
      </c>
      <c r="F146">
        <v>1</v>
      </c>
      <c r="G146">
        <v>30515945</v>
      </c>
      <c r="H146">
        <v>3</v>
      </c>
      <c r="I146" t="s">
        <v>522</v>
      </c>
      <c r="J146" t="s">
        <v>523</v>
      </c>
      <c r="K146" t="s">
        <v>524</v>
      </c>
      <c r="L146">
        <v>1354</v>
      </c>
      <c r="N146">
        <v>1010</v>
      </c>
      <c r="O146" t="s">
        <v>270</v>
      </c>
      <c r="P146" t="s">
        <v>270</v>
      </c>
      <c r="Q146">
        <v>1</v>
      </c>
      <c r="W146">
        <v>0</v>
      </c>
      <c r="X146">
        <v>1529606530</v>
      </c>
      <c r="Y146">
        <v>0.6</v>
      </c>
      <c r="AA146">
        <v>86.52</v>
      </c>
      <c r="AB146">
        <v>0</v>
      </c>
      <c r="AC146">
        <v>0</v>
      </c>
      <c r="AD146">
        <v>0</v>
      </c>
      <c r="AE146">
        <v>14.23</v>
      </c>
      <c r="AF146">
        <v>0</v>
      </c>
      <c r="AG146">
        <v>0</v>
      </c>
      <c r="AH146">
        <v>0</v>
      </c>
      <c r="AI146">
        <v>6.08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0.6</v>
      </c>
      <c r="AU146" t="s">
        <v>3</v>
      </c>
      <c r="AV146">
        <v>0</v>
      </c>
      <c r="AW146">
        <v>2</v>
      </c>
      <c r="AX146">
        <v>44964393</v>
      </c>
      <c r="AY146">
        <v>1</v>
      </c>
      <c r="AZ146">
        <v>0</v>
      </c>
      <c r="BA146">
        <v>142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Y146*Source!I81</f>
        <v>0.12</v>
      </c>
      <c r="CY146">
        <f t="shared" si="20"/>
        <v>86.52</v>
      </c>
      <c r="CZ146">
        <f t="shared" si="21"/>
        <v>14.23</v>
      </c>
      <c r="DA146">
        <f t="shared" si="22"/>
        <v>6.08</v>
      </c>
      <c r="DB146">
        <f t="shared" si="23"/>
        <v>8.5399999999999991</v>
      </c>
      <c r="DC146">
        <f t="shared" si="24"/>
        <v>0</v>
      </c>
    </row>
    <row r="147" spans="1:107" x14ac:dyDescent="0.2">
      <c r="A147">
        <f>ROW(Source!A81)</f>
        <v>81</v>
      </c>
      <c r="B147">
        <v>44962055</v>
      </c>
      <c r="C147">
        <v>44964373</v>
      </c>
      <c r="D147">
        <v>30593539</v>
      </c>
      <c r="E147">
        <v>1</v>
      </c>
      <c r="F147">
        <v>1</v>
      </c>
      <c r="G147">
        <v>30515945</v>
      </c>
      <c r="H147">
        <v>3</v>
      </c>
      <c r="I147" t="s">
        <v>525</v>
      </c>
      <c r="J147" t="s">
        <v>526</v>
      </c>
      <c r="K147" t="s">
        <v>527</v>
      </c>
      <c r="L147">
        <v>1354</v>
      </c>
      <c r="N147">
        <v>1010</v>
      </c>
      <c r="O147" t="s">
        <v>270</v>
      </c>
      <c r="P147" t="s">
        <v>270</v>
      </c>
      <c r="Q147">
        <v>1</v>
      </c>
      <c r="W147">
        <v>0</v>
      </c>
      <c r="X147">
        <v>253564179</v>
      </c>
      <c r="Y147">
        <v>60</v>
      </c>
      <c r="AA147">
        <v>135.77000000000001</v>
      </c>
      <c r="AB147">
        <v>0</v>
      </c>
      <c r="AC147">
        <v>0</v>
      </c>
      <c r="AD147">
        <v>0</v>
      </c>
      <c r="AE147">
        <v>25.33</v>
      </c>
      <c r="AF147">
        <v>0</v>
      </c>
      <c r="AG147">
        <v>0</v>
      </c>
      <c r="AH147">
        <v>0</v>
      </c>
      <c r="AI147">
        <v>5.36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60</v>
      </c>
      <c r="AU147" t="s">
        <v>3</v>
      </c>
      <c r="AV147">
        <v>0</v>
      </c>
      <c r="AW147">
        <v>2</v>
      </c>
      <c r="AX147">
        <v>44964394</v>
      </c>
      <c r="AY147">
        <v>1</v>
      </c>
      <c r="AZ147">
        <v>0</v>
      </c>
      <c r="BA147">
        <v>143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Y147*Source!I81</f>
        <v>12</v>
      </c>
      <c r="CY147">
        <f t="shared" si="20"/>
        <v>135.77000000000001</v>
      </c>
      <c r="CZ147">
        <f t="shared" si="21"/>
        <v>25.33</v>
      </c>
      <c r="DA147">
        <f t="shared" si="22"/>
        <v>5.36</v>
      </c>
      <c r="DB147">
        <f t="shared" si="23"/>
        <v>1519.8</v>
      </c>
      <c r="DC147">
        <f t="shared" si="24"/>
        <v>0</v>
      </c>
    </row>
    <row r="148" spans="1:107" x14ac:dyDescent="0.2">
      <c r="A148">
        <f>ROW(Source!A83)</f>
        <v>83</v>
      </c>
      <c r="B148">
        <v>44962055</v>
      </c>
      <c r="C148">
        <v>44966976</v>
      </c>
      <c r="D148">
        <v>30515951</v>
      </c>
      <c r="E148">
        <v>30515945</v>
      </c>
      <c r="F148">
        <v>1</v>
      </c>
      <c r="G148">
        <v>30515945</v>
      </c>
      <c r="H148">
        <v>1</v>
      </c>
      <c r="I148" t="s">
        <v>388</v>
      </c>
      <c r="J148" t="s">
        <v>3</v>
      </c>
      <c r="K148" t="s">
        <v>389</v>
      </c>
      <c r="L148">
        <v>1191</v>
      </c>
      <c r="N148">
        <v>1013</v>
      </c>
      <c r="O148" t="s">
        <v>390</v>
      </c>
      <c r="P148" t="s">
        <v>390</v>
      </c>
      <c r="Q148">
        <v>1</v>
      </c>
      <c r="W148">
        <v>0</v>
      </c>
      <c r="X148">
        <v>476480486</v>
      </c>
      <c r="Y148">
        <v>103.38500000000001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1</v>
      </c>
      <c r="AQ148">
        <v>0</v>
      </c>
      <c r="AR148">
        <v>0</v>
      </c>
      <c r="AS148" t="s">
        <v>3</v>
      </c>
      <c r="AT148">
        <v>89.9</v>
      </c>
      <c r="AU148" t="s">
        <v>18</v>
      </c>
      <c r="AV148">
        <v>1</v>
      </c>
      <c r="AW148">
        <v>2</v>
      </c>
      <c r="AX148">
        <v>44966977</v>
      </c>
      <c r="AY148">
        <v>1</v>
      </c>
      <c r="AZ148">
        <v>0</v>
      </c>
      <c r="BA148">
        <v>145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Y148*Source!I83</f>
        <v>27.913950000000003</v>
      </c>
      <c r="CY148">
        <f>AD148</f>
        <v>0</v>
      </c>
      <c r="CZ148">
        <f>AH148</f>
        <v>0</v>
      </c>
      <c r="DA148">
        <f>AL148</f>
        <v>1</v>
      </c>
      <c r="DB148">
        <f>ROUND((ROUND(AT148*CZ148,2)*1.15),6)</f>
        <v>0</v>
      </c>
      <c r="DC148">
        <f>ROUND((ROUND(AT148*AG148,2)*1.15),6)</f>
        <v>0</v>
      </c>
    </row>
    <row r="149" spans="1:107" x14ac:dyDescent="0.2">
      <c r="A149">
        <f>ROW(Source!A83)</f>
        <v>83</v>
      </c>
      <c r="B149">
        <v>44962055</v>
      </c>
      <c r="C149">
        <v>44966976</v>
      </c>
      <c r="D149">
        <v>30596074</v>
      </c>
      <c r="E149">
        <v>1</v>
      </c>
      <c r="F149">
        <v>1</v>
      </c>
      <c r="G149">
        <v>30515945</v>
      </c>
      <c r="H149">
        <v>2</v>
      </c>
      <c r="I149" t="s">
        <v>391</v>
      </c>
      <c r="J149" t="s">
        <v>392</v>
      </c>
      <c r="K149" t="s">
        <v>393</v>
      </c>
      <c r="L149">
        <v>1367</v>
      </c>
      <c r="N149">
        <v>1011</v>
      </c>
      <c r="O149" t="s">
        <v>394</v>
      </c>
      <c r="P149" t="s">
        <v>394</v>
      </c>
      <c r="Q149">
        <v>1</v>
      </c>
      <c r="W149">
        <v>0</v>
      </c>
      <c r="X149">
        <v>-628430174</v>
      </c>
      <c r="Y149">
        <v>2.2875000000000001</v>
      </c>
      <c r="AA149">
        <v>0</v>
      </c>
      <c r="AB149">
        <v>641.75</v>
      </c>
      <c r="AC149">
        <v>306.70999999999998</v>
      </c>
      <c r="AD149">
        <v>0</v>
      </c>
      <c r="AE149">
        <v>0</v>
      </c>
      <c r="AF149">
        <v>76.81</v>
      </c>
      <c r="AG149">
        <v>14.36</v>
      </c>
      <c r="AH149">
        <v>0</v>
      </c>
      <c r="AI149">
        <v>1</v>
      </c>
      <c r="AJ149">
        <v>7.98</v>
      </c>
      <c r="AK149">
        <v>20.399999999999999</v>
      </c>
      <c r="AL149">
        <v>1</v>
      </c>
      <c r="AN149">
        <v>0</v>
      </c>
      <c r="AO149">
        <v>1</v>
      </c>
      <c r="AP149">
        <v>1</v>
      </c>
      <c r="AQ149">
        <v>0</v>
      </c>
      <c r="AR149">
        <v>0</v>
      </c>
      <c r="AS149" t="s">
        <v>3</v>
      </c>
      <c r="AT149">
        <v>1.83</v>
      </c>
      <c r="AU149" t="s">
        <v>17</v>
      </c>
      <c r="AV149">
        <v>0</v>
      </c>
      <c r="AW149">
        <v>2</v>
      </c>
      <c r="AX149">
        <v>44966978</v>
      </c>
      <c r="AY149">
        <v>1</v>
      </c>
      <c r="AZ149">
        <v>0</v>
      </c>
      <c r="BA149">
        <v>146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Y149*Source!I83</f>
        <v>0.61762500000000009</v>
      </c>
      <c r="CY149">
        <f>AB149</f>
        <v>641.75</v>
      </c>
      <c r="CZ149">
        <f>AF149</f>
        <v>76.81</v>
      </c>
      <c r="DA149">
        <f>AJ149</f>
        <v>7.98</v>
      </c>
      <c r="DB149">
        <f>ROUND((ROUND(AT149*CZ149,2)*1.25),6)</f>
        <v>175.7</v>
      </c>
      <c r="DC149">
        <f>ROUND((ROUND(AT149*AG149,2)*1.25),6)</f>
        <v>32.85</v>
      </c>
    </row>
    <row r="150" spans="1:107" x14ac:dyDescent="0.2">
      <c r="A150">
        <f>ROW(Source!A83)</f>
        <v>83</v>
      </c>
      <c r="B150">
        <v>44962055</v>
      </c>
      <c r="C150">
        <v>44966976</v>
      </c>
      <c r="D150">
        <v>30595318</v>
      </c>
      <c r="E150">
        <v>1</v>
      </c>
      <c r="F150">
        <v>1</v>
      </c>
      <c r="G150">
        <v>30515945</v>
      </c>
      <c r="H150">
        <v>2</v>
      </c>
      <c r="I150" t="s">
        <v>404</v>
      </c>
      <c r="J150" t="s">
        <v>405</v>
      </c>
      <c r="K150" t="s">
        <v>406</v>
      </c>
      <c r="L150">
        <v>1367</v>
      </c>
      <c r="N150">
        <v>1011</v>
      </c>
      <c r="O150" t="s">
        <v>394</v>
      </c>
      <c r="P150" t="s">
        <v>394</v>
      </c>
      <c r="Q150">
        <v>1</v>
      </c>
      <c r="W150">
        <v>0</v>
      </c>
      <c r="X150">
        <v>-94137371</v>
      </c>
      <c r="Y150">
        <v>1.9</v>
      </c>
      <c r="AA150">
        <v>0</v>
      </c>
      <c r="AB150">
        <v>968.6</v>
      </c>
      <c r="AC150">
        <v>641.4</v>
      </c>
      <c r="AD150">
        <v>0</v>
      </c>
      <c r="AE150">
        <v>0</v>
      </c>
      <c r="AF150">
        <v>102.11</v>
      </c>
      <c r="AG150">
        <v>30.03</v>
      </c>
      <c r="AH150">
        <v>0</v>
      </c>
      <c r="AI150">
        <v>1</v>
      </c>
      <c r="AJ150">
        <v>9.06</v>
      </c>
      <c r="AK150">
        <v>20.399999999999999</v>
      </c>
      <c r="AL150">
        <v>1</v>
      </c>
      <c r="AN150">
        <v>0</v>
      </c>
      <c r="AO150">
        <v>1</v>
      </c>
      <c r="AP150">
        <v>1</v>
      </c>
      <c r="AQ150">
        <v>0</v>
      </c>
      <c r="AR150">
        <v>0</v>
      </c>
      <c r="AS150" t="s">
        <v>3</v>
      </c>
      <c r="AT150">
        <v>1.52</v>
      </c>
      <c r="AU150" t="s">
        <v>17</v>
      </c>
      <c r="AV150">
        <v>0</v>
      </c>
      <c r="AW150">
        <v>2</v>
      </c>
      <c r="AX150">
        <v>44966979</v>
      </c>
      <c r="AY150">
        <v>1</v>
      </c>
      <c r="AZ150">
        <v>0</v>
      </c>
      <c r="BA150">
        <v>147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Y150*Source!I83</f>
        <v>0.51300000000000001</v>
      </c>
      <c r="CY150">
        <f>AB150</f>
        <v>968.6</v>
      </c>
      <c r="CZ150">
        <f>AF150</f>
        <v>102.11</v>
      </c>
      <c r="DA150">
        <f>AJ150</f>
        <v>9.06</v>
      </c>
      <c r="DB150">
        <f>ROUND((ROUND(AT150*CZ150,2)*1.25),6)</f>
        <v>194.01249999999999</v>
      </c>
      <c r="DC150">
        <f>ROUND((ROUND(AT150*AG150,2)*1.25),6)</f>
        <v>57.0625</v>
      </c>
    </row>
    <row r="151" spans="1:107" x14ac:dyDescent="0.2">
      <c r="A151">
        <f>ROW(Source!A83)</f>
        <v>83</v>
      </c>
      <c r="B151">
        <v>44962055</v>
      </c>
      <c r="C151">
        <v>44966976</v>
      </c>
      <c r="D151">
        <v>30595537</v>
      </c>
      <c r="E151">
        <v>1</v>
      </c>
      <c r="F151">
        <v>1</v>
      </c>
      <c r="G151">
        <v>30515945</v>
      </c>
      <c r="H151">
        <v>2</v>
      </c>
      <c r="I151" t="s">
        <v>528</v>
      </c>
      <c r="J151" t="s">
        <v>529</v>
      </c>
      <c r="K151" t="s">
        <v>530</v>
      </c>
      <c r="L151">
        <v>1367</v>
      </c>
      <c r="N151">
        <v>1011</v>
      </c>
      <c r="O151" t="s">
        <v>394</v>
      </c>
      <c r="P151" t="s">
        <v>394</v>
      </c>
      <c r="Q151">
        <v>1</v>
      </c>
      <c r="W151">
        <v>0</v>
      </c>
      <c r="X151">
        <v>198543205</v>
      </c>
      <c r="Y151">
        <v>2.2374999999999998</v>
      </c>
      <c r="AA151">
        <v>0</v>
      </c>
      <c r="AB151">
        <v>117.39</v>
      </c>
      <c r="AC151">
        <v>20.72</v>
      </c>
      <c r="AD151">
        <v>0</v>
      </c>
      <c r="AE151">
        <v>0</v>
      </c>
      <c r="AF151">
        <v>13.3</v>
      </c>
      <c r="AG151">
        <v>0.97</v>
      </c>
      <c r="AH151">
        <v>0</v>
      </c>
      <c r="AI151">
        <v>1</v>
      </c>
      <c r="AJ151">
        <v>8.43</v>
      </c>
      <c r="AK151">
        <v>20.399999999999999</v>
      </c>
      <c r="AL151">
        <v>1</v>
      </c>
      <c r="AN151">
        <v>0</v>
      </c>
      <c r="AO151">
        <v>1</v>
      </c>
      <c r="AP151">
        <v>1</v>
      </c>
      <c r="AQ151">
        <v>0</v>
      </c>
      <c r="AR151">
        <v>0</v>
      </c>
      <c r="AS151" t="s">
        <v>3</v>
      </c>
      <c r="AT151">
        <v>1.79</v>
      </c>
      <c r="AU151" t="s">
        <v>17</v>
      </c>
      <c r="AV151">
        <v>0</v>
      </c>
      <c r="AW151">
        <v>2</v>
      </c>
      <c r="AX151">
        <v>44966980</v>
      </c>
      <c r="AY151">
        <v>1</v>
      </c>
      <c r="AZ151">
        <v>0</v>
      </c>
      <c r="BA151">
        <v>148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Y151*Source!I83</f>
        <v>0.60412500000000002</v>
      </c>
      <c r="CY151">
        <f>AB151</f>
        <v>117.39</v>
      </c>
      <c r="CZ151">
        <f>AF151</f>
        <v>13.3</v>
      </c>
      <c r="DA151">
        <f>AJ151</f>
        <v>8.43</v>
      </c>
      <c r="DB151">
        <f>ROUND((ROUND(AT151*CZ151,2)*1.25),6)</f>
        <v>29.762499999999999</v>
      </c>
      <c r="DC151">
        <f>ROUND((ROUND(AT151*AG151,2)*1.25),6)</f>
        <v>2.1749999999999998</v>
      </c>
    </row>
    <row r="152" spans="1:107" x14ac:dyDescent="0.2">
      <c r="A152">
        <f>ROW(Source!A83)</f>
        <v>83</v>
      </c>
      <c r="B152">
        <v>44962055</v>
      </c>
      <c r="C152">
        <v>44966976</v>
      </c>
      <c r="D152">
        <v>30571993</v>
      </c>
      <c r="E152">
        <v>1</v>
      </c>
      <c r="F152">
        <v>1</v>
      </c>
      <c r="G152">
        <v>30515945</v>
      </c>
      <c r="H152">
        <v>3</v>
      </c>
      <c r="I152" t="s">
        <v>531</v>
      </c>
      <c r="J152" t="s">
        <v>532</v>
      </c>
      <c r="K152" t="s">
        <v>533</v>
      </c>
      <c r="L152">
        <v>1348</v>
      </c>
      <c r="N152">
        <v>1009</v>
      </c>
      <c r="O152" t="s">
        <v>77</v>
      </c>
      <c r="P152" t="s">
        <v>77</v>
      </c>
      <c r="Q152">
        <v>1000</v>
      </c>
      <c r="W152">
        <v>0</v>
      </c>
      <c r="X152">
        <v>1977647148</v>
      </c>
      <c r="Y152">
        <v>2.3599999999999999E-2</v>
      </c>
      <c r="AA152">
        <v>24161.56</v>
      </c>
      <c r="AB152">
        <v>0</v>
      </c>
      <c r="AC152">
        <v>0</v>
      </c>
      <c r="AD152">
        <v>0</v>
      </c>
      <c r="AE152">
        <v>1463.45</v>
      </c>
      <c r="AF152">
        <v>0</v>
      </c>
      <c r="AG152">
        <v>0</v>
      </c>
      <c r="AH152">
        <v>0</v>
      </c>
      <c r="AI152">
        <v>16.510000000000002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</v>
      </c>
      <c r="AT152">
        <v>2.3599999999999999E-2</v>
      </c>
      <c r="AU152" t="s">
        <v>3</v>
      </c>
      <c r="AV152">
        <v>0</v>
      </c>
      <c r="AW152">
        <v>2</v>
      </c>
      <c r="AX152">
        <v>44966981</v>
      </c>
      <c r="AY152">
        <v>1</v>
      </c>
      <c r="AZ152">
        <v>0</v>
      </c>
      <c r="BA152">
        <v>149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Y152*Source!I83</f>
        <v>6.3720000000000001E-3</v>
      </c>
      <c r="CY152">
        <f t="shared" ref="CY152:CY162" si="25">AA152</f>
        <v>24161.56</v>
      </c>
      <c r="CZ152">
        <f t="shared" ref="CZ152:CZ162" si="26">AE152</f>
        <v>1463.45</v>
      </c>
      <c r="DA152">
        <f t="shared" ref="DA152:DA162" si="27">AI152</f>
        <v>16.510000000000002</v>
      </c>
      <c r="DB152">
        <f t="shared" ref="DB152:DB162" si="28">ROUND(ROUND(AT152*CZ152,2),6)</f>
        <v>34.54</v>
      </c>
      <c r="DC152">
        <f t="shared" ref="DC152:DC162" si="29">ROUND(ROUND(AT152*AG152,2),6)</f>
        <v>0</v>
      </c>
    </row>
    <row r="153" spans="1:107" x14ac:dyDescent="0.2">
      <c r="A153">
        <f>ROW(Source!A83)</f>
        <v>83</v>
      </c>
      <c r="B153">
        <v>44962055</v>
      </c>
      <c r="C153">
        <v>44966976</v>
      </c>
      <c r="D153">
        <v>30572206</v>
      </c>
      <c r="E153">
        <v>1</v>
      </c>
      <c r="F153">
        <v>1</v>
      </c>
      <c r="G153">
        <v>30515945</v>
      </c>
      <c r="H153">
        <v>3</v>
      </c>
      <c r="I153" t="s">
        <v>534</v>
      </c>
      <c r="J153" t="s">
        <v>535</v>
      </c>
      <c r="K153" t="s">
        <v>536</v>
      </c>
      <c r="L153">
        <v>1327</v>
      </c>
      <c r="N153">
        <v>1005</v>
      </c>
      <c r="O153" t="s">
        <v>36</v>
      </c>
      <c r="P153" t="s">
        <v>36</v>
      </c>
      <c r="Q153">
        <v>1</v>
      </c>
      <c r="W153">
        <v>0</v>
      </c>
      <c r="X153">
        <v>1078535560</v>
      </c>
      <c r="Y153">
        <v>89</v>
      </c>
      <c r="AA153">
        <v>10.83</v>
      </c>
      <c r="AB153">
        <v>0</v>
      </c>
      <c r="AC153">
        <v>0</v>
      </c>
      <c r="AD153">
        <v>0</v>
      </c>
      <c r="AE153">
        <v>5.76</v>
      </c>
      <c r="AF153">
        <v>0</v>
      </c>
      <c r="AG153">
        <v>0</v>
      </c>
      <c r="AH153">
        <v>0</v>
      </c>
      <c r="AI153">
        <v>1.88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3</v>
      </c>
      <c r="AT153">
        <v>89</v>
      </c>
      <c r="AU153" t="s">
        <v>3</v>
      </c>
      <c r="AV153">
        <v>0</v>
      </c>
      <c r="AW153">
        <v>2</v>
      </c>
      <c r="AX153">
        <v>44966982</v>
      </c>
      <c r="AY153">
        <v>1</v>
      </c>
      <c r="AZ153">
        <v>0</v>
      </c>
      <c r="BA153">
        <v>150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Y153*Source!I83</f>
        <v>24.03</v>
      </c>
      <c r="CY153">
        <f t="shared" si="25"/>
        <v>10.83</v>
      </c>
      <c r="CZ153">
        <f t="shared" si="26"/>
        <v>5.76</v>
      </c>
      <c r="DA153">
        <f t="shared" si="27"/>
        <v>1.88</v>
      </c>
      <c r="DB153">
        <f t="shared" si="28"/>
        <v>512.64</v>
      </c>
      <c r="DC153">
        <f t="shared" si="29"/>
        <v>0</v>
      </c>
    </row>
    <row r="154" spans="1:107" x14ac:dyDescent="0.2">
      <c r="A154">
        <f>ROW(Source!A83)</f>
        <v>83</v>
      </c>
      <c r="B154">
        <v>44962055</v>
      </c>
      <c r="C154">
        <v>44966976</v>
      </c>
      <c r="D154">
        <v>30571194</v>
      </c>
      <c r="E154">
        <v>1</v>
      </c>
      <c r="F154">
        <v>1</v>
      </c>
      <c r="G154">
        <v>30515945</v>
      </c>
      <c r="H154">
        <v>3</v>
      </c>
      <c r="I154" t="s">
        <v>537</v>
      </c>
      <c r="J154" t="s">
        <v>538</v>
      </c>
      <c r="K154" t="s">
        <v>539</v>
      </c>
      <c r="L154">
        <v>1348</v>
      </c>
      <c r="N154">
        <v>1009</v>
      </c>
      <c r="O154" t="s">
        <v>77</v>
      </c>
      <c r="P154" t="s">
        <v>77</v>
      </c>
      <c r="Q154">
        <v>1000</v>
      </c>
      <c r="W154">
        <v>0</v>
      </c>
      <c r="X154">
        <v>563176784</v>
      </c>
      <c r="Y154">
        <v>4.13E-3</v>
      </c>
      <c r="AA154">
        <v>63388.2</v>
      </c>
      <c r="AB154">
        <v>0</v>
      </c>
      <c r="AC154">
        <v>0</v>
      </c>
      <c r="AD154">
        <v>0</v>
      </c>
      <c r="AE154">
        <v>6521.42</v>
      </c>
      <c r="AF154">
        <v>0</v>
      </c>
      <c r="AG154">
        <v>0</v>
      </c>
      <c r="AH154">
        <v>0</v>
      </c>
      <c r="AI154">
        <v>9.7200000000000006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3</v>
      </c>
      <c r="AT154">
        <v>4.13E-3</v>
      </c>
      <c r="AU154" t="s">
        <v>3</v>
      </c>
      <c r="AV154">
        <v>0</v>
      </c>
      <c r="AW154">
        <v>2</v>
      </c>
      <c r="AX154">
        <v>44966983</v>
      </c>
      <c r="AY154">
        <v>1</v>
      </c>
      <c r="AZ154">
        <v>0</v>
      </c>
      <c r="BA154">
        <v>151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Y154*Source!I83</f>
        <v>1.1151000000000002E-3</v>
      </c>
      <c r="CY154">
        <f t="shared" si="25"/>
        <v>63388.2</v>
      </c>
      <c r="CZ154">
        <f t="shared" si="26"/>
        <v>6521.42</v>
      </c>
      <c r="DA154">
        <f t="shared" si="27"/>
        <v>9.7200000000000006</v>
      </c>
      <c r="DB154">
        <f t="shared" si="28"/>
        <v>26.93</v>
      </c>
      <c r="DC154">
        <f t="shared" si="29"/>
        <v>0</v>
      </c>
    </row>
    <row r="155" spans="1:107" x14ac:dyDescent="0.2">
      <c r="A155">
        <f>ROW(Source!A83)</f>
        <v>83</v>
      </c>
      <c r="B155">
        <v>44962055</v>
      </c>
      <c r="C155">
        <v>44966976</v>
      </c>
      <c r="D155">
        <v>30571195</v>
      </c>
      <c r="E155">
        <v>1</v>
      </c>
      <c r="F155">
        <v>1</v>
      </c>
      <c r="G155">
        <v>30515945</v>
      </c>
      <c r="H155">
        <v>3</v>
      </c>
      <c r="I155" t="s">
        <v>540</v>
      </c>
      <c r="J155" t="s">
        <v>541</v>
      </c>
      <c r="K155" t="s">
        <v>542</v>
      </c>
      <c r="L155">
        <v>1348</v>
      </c>
      <c r="N155">
        <v>1009</v>
      </c>
      <c r="O155" t="s">
        <v>77</v>
      </c>
      <c r="P155" t="s">
        <v>77</v>
      </c>
      <c r="Q155">
        <v>1000</v>
      </c>
      <c r="W155">
        <v>0</v>
      </c>
      <c r="X155">
        <v>-1841336821</v>
      </c>
      <c r="Y155">
        <v>2.0999999999999999E-3</v>
      </c>
      <c r="AA155">
        <v>48511.48</v>
      </c>
      <c r="AB155">
        <v>0</v>
      </c>
      <c r="AC155">
        <v>0</v>
      </c>
      <c r="AD155">
        <v>0</v>
      </c>
      <c r="AE155">
        <v>7875.24</v>
      </c>
      <c r="AF155">
        <v>0</v>
      </c>
      <c r="AG155">
        <v>0</v>
      </c>
      <c r="AH155">
        <v>0</v>
      </c>
      <c r="AI155">
        <v>6.16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3</v>
      </c>
      <c r="AT155">
        <v>2.0999999999999999E-3</v>
      </c>
      <c r="AU155" t="s">
        <v>3</v>
      </c>
      <c r="AV155">
        <v>0</v>
      </c>
      <c r="AW155">
        <v>2</v>
      </c>
      <c r="AX155">
        <v>44966984</v>
      </c>
      <c r="AY155">
        <v>1</v>
      </c>
      <c r="AZ155">
        <v>0</v>
      </c>
      <c r="BA155">
        <v>152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Y155*Source!I83</f>
        <v>5.6700000000000001E-4</v>
      </c>
      <c r="CY155">
        <f t="shared" si="25"/>
        <v>48511.48</v>
      </c>
      <c r="CZ155">
        <f t="shared" si="26"/>
        <v>7875.24</v>
      </c>
      <c r="DA155">
        <f t="shared" si="27"/>
        <v>6.16</v>
      </c>
      <c r="DB155">
        <f t="shared" si="28"/>
        <v>16.54</v>
      </c>
      <c r="DC155">
        <f t="shared" si="29"/>
        <v>0</v>
      </c>
    </row>
    <row r="156" spans="1:107" x14ac:dyDescent="0.2">
      <c r="A156">
        <f>ROW(Source!A83)</f>
        <v>83</v>
      </c>
      <c r="B156">
        <v>44962055</v>
      </c>
      <c r="C156">
        <v>44966976</v>
      </c>
      <c r="D156">
        <v>30571207</v>
      </c>
      <c r="E156">
        <v>1</v>
      </c>
      <c r="F156">
        <v>1</v>
      </c>
      <c r="G156">
        <v>30515945</v>
      </c>
      <c r="H156">
        <v>3</v>
      </c>
      <c r="I156" t="s">
        <v>543</v>
      </c>
      <c r="J156" t="s">
        <v>544</v>
      </c>
      <c r="K156" t="s">
        <v>545</v>
      </c>
      <c r="L156">
        <v>1348</v>
      </c>
      <c r="N156">
        <v>1009</v>
      </c>
      <c r="O156" t="s">
        <v>77</v>
      </c>
      <c r="P156" t="s">
        <v>77</v>
      </c>
      <c r="Q156">
        <v>1000</v>
      </c>
      <c r="W156">
        <v>0</v>
      </c>
      <c r="X156">
        <v>837574469</v>
      </c>
      <c r="Y156">
        <v>1.6E-2</v>
      </c>
      <c r="AA156">
        <v>3412.12</v>
      </c>
      <c r="AB156">
        <v>0</v>
      </c>
      <c r="AC156">
        <v>0</v>
      </c>
      <c r="AD156">
        <v>0</v>
      </c>
      <c r="AE156">
        <v>1227.3800000000001</v>
      </c>
      <c r="AF156">
        <v>0</v>
      </c>
      <c r="AG156">
        <v>0</v>
      </c>
      <c r="AH156">
        <v>0</v>
      </c>
      <c r="AI156">
        <v>2.78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3</v>
      </c>
      <c r="AT156">
        <v>1.6E-2</v>
      </c>
      <c r="AU156" t="s">
        <v>3</v>
      </c>
      <c r="AV156">
        <v>0</v>
      </c>
      <c r="AW156">
        <v>2</v>
      </c>
      <c r="AX156">
        <v>44966985</v>
      </c>
      <c r="AY156">
        <v>1</v>
      </c>
      <c r="AZ156">
        <v>0</v>
      </c>
      <c r="BA156">
        <v>153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Y156*Source!I83</f>
        <v>4.3200000000000001E-3</v>
      </c>
      <c r="CY156">
        <f t="shared" si="25"/>
        <v>3412.12</v>
      </c>
      <c r="CZ156">
        <f t="shared" si="26"/>
        <v>1227.3800000000001</v>
      </c>
      <c r="DA156">
        <f t="shared" si="27"/>
        <v>2.78</v>
      </c>
      <c r="DB156">
        <f t="shared" si="28"/>
        <v>19.64</v>
      </c>
      <c r="DC156">
        <f t="shared" si="29"/>
        <v>0</v>
      </c>
    </row>
    <row r="157" spans="1:107" x14ac:dyDescent="0.2">
      <c r="A157">
        <f>ROW(Source!A83)</f>
        <v>83</v>
      </c>
      <c r="B157">
        <v>44962055</v>
      </c>
      <c r="C157">
        <v>44966976</v>
      </c>
      <c r="D157">
        <v>30571284</v>
      </c>
      <c r="E157">
        <v>1</v>
      </c>
      <c r="F157">
        <v>1</v>
      </c>
      <c r="G157">
        <v>30515945</v>
      </c>
      <c r="H157">
        <v>3</v>
      </c>
      <c r="I157" t="s">
        <v>546</v>
      </c>
      <c r="J157" t="s">
        <v>547</v>
      </c>
      <c r="K157" t="s">
        <v>548</v>
      </c>
      <c r="L157">
        <v>1339</v>
      </c>
      <c r="N157">
        <v>1007</v>
      </c>
      <c r="O157" t="s">
        <v>140</v>
      </c>
      <c r="P157" t="s">
        <v>140</v>
      </c>
      <c r="Q157">
        <v>1</v>
      </c>
      <c r="W157">
        <v>0</v>
      </c>
      <c r="X157">
        <v>-1845249973</v>
      </c>
      <c r="Y157">
        <v>0.08</v>
      </c>
      <c r="AA157">
        <v>4735.97</v>
      </c>
      <c r="AB157">
        <v>0</v>
      </c>
      <c r="AC157">
        <v>0</v>
      </c>
      <c r="AD157">
        <v>0</v>
      </c>
      <c r="AE157">
        <v>1828.56</v>
      </c>
      <c r="AF157">
        <v>0</v>
      </c>
      <c r="AG157">
        <v>0</v>
      </c>
      <c r="AH157">
        <v>0</v>
      </c>
      <c r="AI157">
        <v>2.59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3</v>
      </c>
      <c r="AT157">
        <v>0.08</v>
      </c>
      <c r="AU157" t="s">
        <v>3</v>
      </c>
      <c r="AV157">
        <v>0</v>
      </c>
      <c r="AW157">
        <v>2</v>
      </c>
      <c r="AX157">
        <v>44966986</v>
      </c>
      <c r="AY157">
        <v>1</v>
      </c>
      <c r="AZ157">
        <v>0</v>
      </c>
      <c r="BA157">
        <v>154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Y157*Source!I83</f>
        <v>2.1600000000000001E-2</v>
      </c>
      <c r="CY157">
        <f t="shared" si="25"/>
        <v>4735.97</v>
      </c>
      <c r="CZ157">
        <f t="shared" si="26"/>
        <v>1828.56</v>
      </c>
      <c r="DA157">
        <f t="shared" si="27"/>
        <v>2.59</v>
      </c>
      <c r="DB157">
        <f t="shared" si="28"/>
        <v>146.28</v>
      </c>
      <c r="DC157">
        <f t="shared" si="29"/>
        <v>0</v>
      </c>
    </row>
    <row r="158" spans="1:107" x14ac:dyDescent="0.2">
      <c r="A158">
        <f>ROW(Source!A83)</f>
        <v>83</v>
      </c>
      <c r="B158">
        <v>44962055</v>
      </c>
      <c r="C158">
        <v>44966976</v>
      </c>
      <c r="D158">
        <v>30571721</v>
      </c>
      <c r="E158">
        <v>1</v>
      </c>
      <c r="F158">
        <v>1</v>
      </c>
      <c r="G158">
        <v>30515945</v>
      </c>
      <c r="H158">
        <v>3</v>
      </c>
      <c r="I158" t="s">
        <v>549</v>
      </c>
      <c r="J158" t="s">
        <v>550</v>
      </c>
      <c r="K158" t="s">
        <v>551</v>
      </c>
      <c r="L158">
        <v>1346</v>
      </c>
      <c r="N158">
        <v>1009</v>
      </c>
      <c r="O158" t="s">
        <v>55</v>
      </c>
      <c r="P158" t="s">
        <v>55</v>
      </c>
      <c r="Q158">
        <v>1</v>
      </c>
      <c r="W158">
        <v>0</v>
      </c>
      <c r="X158">
        <v>1241994263</v>
      </c>
      <c r="Y158">
        <v>108</v>
      </c>
      <c r="AA158">
        <v>74.540000000000006</v>
      </c>
      <c r="AB158">
        <v>0</v>
      </c>
      <c r="AC158">
        <v>0</v>
      </c>
      <c r="AD158">
        <v>0</v>
      </c>
      <c r="AE158">
        <v>9.86</v>
      </c>
      <c r="AF158">
        <v>0</v>
      </c>
      <c r="AG158">
        <v>0</v>
      </c>
      <c r="AH158">
        <v>0</v>
      </c>
      <c r="AI158">
        <v>7.56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3</v>
      </c>
      <c r="AT158">
        <v>108</v>
      </c>
      <c r="AU158" t="s">
        <v>3</v>
      </c>
      <c r="AV158">
        <v>0</v>
      </c>
      <c r="AW158">
        <v>2</v>
      </c>
      <c r="AX158">
        <v>44966987</v>
      </c>
      <c r="AY158">
        <v>1</v>
      </c>
      <c r="AZ158">
        <v>0</v>
      </c>
      <c r="BA158">
        <v>155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Y158*Source!I83</f>
        <v>29.160000000000004</v>
      </c>
      <c r="CY158">
        <f t="shared" si="25"/>
        <v>74.540000000000006</v>
      </c>
      <c r="CZ158">
        <f t="shared" si="26"/>
        <v>9.86</v>
      </c>
      <c r="DA158">
        <f t="shared" si="27"/>
        <v>7.56</v>
      </c>
      <c r="DB158">
        <f t="shared" si="28"/>
        <v>1064.8800000000001</v>
      </c>
      <c r="DC158">
        <f t="shared" si="29"/>
        <v>0</v>
      </c>
    </row>
    <row r="159" spans="1:107" x14ac:dyDescent="0.2">
      <c r="A159">
        <f>ROW(Source!A83)</f>
        <v>83</v>
      </c>
      <c r="B159">
        <v>44962055</v>
      </c>
      <c r="C159">
        <v>44966976</v>
      </c>
      <c r="D159">
        <v>30589701</v>
      </c>
      <c r="E159">
        <v>1</v>
      </c>
      <c r="F159">
        <v>1</v>
      </c>
      <c r="G159">
        <v>30515945</v>
      </c>
      <c r="H159">
        <v>3</v>
      </c>
      <c r="I159" t="s">
        <v>552</v>
      </c>
      <c r="J159" t="s">
        <v>553</v>
      </c>
      <c r="K159" t="s">
        <v>554</v>
      </c>
      <c r="L159">
        <v>1339</v>
      </c>
      <c r="N159">
        <v>1007</v>
      </c>
      <c r="O159" t="s">
        <v>140</v>
      </c>
      <c r="P159" t="s">
        <v>140</v>
      </c>
      <c r="Q159">
        <v>1</v>
      </c>
      <c r="W159">
        <v>0</v>
      </c>
      <c r="X159">
        <v>-668171035</v>
      </c>
      <c r="Y159">
        <v>0.105</v>
      </c>
      <c r="AA159">
        <v>3518.13</v>
      </c>
      <c r="AB159">
        <v>0</v>
      </c>
      <c r="AC159">
        <v>0</v>
      </c>
      <c r="AD159">
        <v>0</v>
      </c>
      <c r="AE159">
        <v>540.41999999999996</v>
      </c>
      <c r="AF159">
        <v>0</v>
      </c>
      <c r="AG159">
        <v>0</v>
      </c>
      <c r="AH159">
        <v>0</v>
      </c>
      <c r="AI159">
        <v>6.51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S159" t="s">
        <v>3</v>
      </c>
      <c r="AT159">
        <v>0.105</v>
      </c>
      <c r="AU159" t="s">
        <v>3</v>
      </c>
      <c r="AV159">
        <v>0</v>
      </c>
      <c r="AW159">
        <v>2</v>
      </c>
      <c r="AX159">
        <v>44966988</v>
      </c>
      <c r="AY159">
        <v>1</v>
      </c>
      <c r="AZ159">
        <v>0</v>
      </c>
      <c r="BA159">
        <v>156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Y159*Source!I83</f>
        <v>2.835E-2</v>
      </c>
      <c r="CY159">
        <f t="shared" si="25"/>
        <v>3518.13</v>
      </c>
      <c r="CZ159">
        <f t="shared" si="26"/>
        <v>540.41999999999996</v>
      </c>
      <c r="DA159">
        <f t="shared" si="27"/>
        <v>6.51</v>
      </c>
      <c r="DB159">
        <f t="shared" si="28"/>
        <v>56.74</v>
      </c>
      <c r="DC159">
        <f t="shared" si="29"/>
        <v>0</v>
      </c>
    </row>
    <row r="160" spans="1:107" x14ac:dyDescent="0.2">
      <c r="A160">
        <f>ROW(Source!A83)</f>
        <v>83</v>
      </c>
      <c r="B160">
        <v>44962055</v>
      </c>
      <c r="C160">
        <v>44966976</v>
      </c>
      <c r="D160">
        <v>30593502</v>
      </c>
      <c r="E160">
        <v>1</v>
      </c>
      <c r="F160">
        <v>1</v>
      </c>
      <c r="G160">
        <v>30515945</v>
      </c>
      <c r="H160">
        <v>3</v>
      </c>
      <c r="I160" t="s">
        <v>555</v>
      </c>
      <c r="J160" t="s">
        <v>556</v>
      </c>
      <c r="K160" t="s">
        <v>557</v>
      </c>
      <c r="L160">
        <v>1346</v>
      </c>
      <c r="N160">
        <v>1009</v>
      </c>
      <c r="O160" t="s">
        <v>55</v>
      </c>
      <c r="P160" t="s">
        <v>55</v>
      </c>
      <c r="Q160">
        <v>1</v>
      </c>
      <c r="W160">
        <v>0</v>
      </c>
      <c r="X160">
        <v>-361252770</v>
      </c>
      <c r="Y160">
        <v>37.5</v>
      </c>
      <c r="AA160">
        <v>64.59</v>
      </c>
      <c r="AB160">
        <v>0</v>
      </c>
      <c r="AC160">
        <v>0</v>
      </c>
      <c r="AD160">
        <v>0</v>
      </c>
      <c r="AE160">
        <v>4.37</v>
      </c>
      <c r="AF160">
        <v>0</v>
      </c>
      <c r="AG160">
        <v>0</v>
      </c>
      <c r="AH160">
        <v>0</v>
      </c>
      <c r="AI160">
        <v>14.78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S160" t="s">
        <v>3</v>
      </c>
      <c r="AT160">
        <v>37.5</v>
      </c>
      <c r="AU160" t="s">
        <v>3</v>
      </c>
      <c r="AV160">
        <v>0</v>
      </c>
      <c r="AW160">
        <v>2</v>
      </c>
      <c r="AX160">
        <v>44966989</v>
      </c>
      <c r="AY160">
        <v>1</v>
      </c>
      <c r="AZ160">
        <v>0</v>
      </c>
      <c r="BA160">
        <v>157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Y160*Source!I83</f>
        <v>10.125</v>
      </c>
      <c r="CY160">
        <f t="shared" si="25"/>
        <v>64.59</v>
      </c>
      <c r="CZ160">
        <f t="shared" si="26"/>
        <v>4.37</v>
      </c>
      <c r="DA160">
        <f t="shared" si="27"/>
        <v>14.78</v>
      </c>
      <c r="DB160">
        <f t="shared" si="28"/>
        <v>163.88</v>
      </c>
      <c r="DC160">
        <f t="shared" si="29"/>
        <v>0</v>
      </c>
    </row>
    <row r="161" spans="1:107" x14ac:dyDescent="0.2">
      <c r="A161">
        <f>ROW(Source!A83)</f>
        <v>83</v>
      </c>
      <c r="B161">
        <v>44962055</v>
      </c>
      <c r="C161">
        <v>44966976</v>
      </c>
      <c r="D161">
        <v>30594328</v>
      </c>
      <c r="E161">
        <v>1</v>
      </c>
      <c r="F161">
        <v>1</v>
      </c>
      <c r="G161">
        <v>30515945</v>
      </c>
      <c r="H161">
        <v>3</v>
      </c>
      <c r="I161" t="s">
        <v>280</v>
      </c>
      <c r="J161" t="s">
        <v>282</v>
      </c>
      <c r="K161" t="s">
        <v>281</v>
      </c>
      <c r="L161">
        <v>1391</v>
      </c>
      <c r="N161">
        <v>1013</v>
      </c>
      <c r="O161" t="s">
        <v>113</v>
      </c>
      <c r="P161" t="s">
        <v>113</v>
      </c>
      <c r="Q161">
        <v>1</v>
      </c>
      <c r="W161">
        <v>0</v>
      </c>
      <c r="X161">
        <v>-189742698</v>
      </c>
      <c r="Y161">
        <v>55.555556000000003</v>
      </c>
      <c r="AA161">
        <v>319.43</v>
      </c>
      <c r="AB161">
        <v>0</v>
      </c>
      <c r="AC161">
        <v>0</v>
      </c>
      <c r="AD161">
        <v>0</v>
      </c>
      <c r="AE161">
        <v>72.27</v>
      </c>
      <c r="AF161">
        <v>0</v>
      </c>
      <c r="AG161">
        <v>0</v>
      </c>
      <c r="AH161">
        <v>0</v>
      </c>
      <c r="AI161">
        <v>4.42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 t="s">
        <v>3</v>
      </c>
      <c r="AT161">
        <v>55.555556000000003</v>
      </c>
      <c r="AU161" t="s">
        <v>3</v>
      </c>
      <c r="AV161">
        <v>0</v>
      </c>
      <c r="AW161">
        <v>1</v>
      </c>
      <c r="AX161">
        <v>-1</v>
      </c>
      <c r="AY161">
        <v>0</v>
      </c>
      <c r="AZ161">
        <v>0</v>
      </c>
      <c r="BA161" t="s">
        <v>3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Y161*Source!I83</f>
        <v>15.000000120000001</v>
      </c>
      <c r="CY161">
        <f t="shared" si="25"/>
        <v>319.43</v>
      </c>
      <c r="CZ161">
        <f t="shared" si="26"/>
        <v>72.27</v>
      </c>
      <c r="DA161">
        <f t="shared" si="27"/>
        <v>4.42</v>
      </c>
      <c r="DB161">
        <f t="shared" si="28"/>
        <v>4015</v>
      </c>
      <c r="DC161">
        <f t="shared" si="29"/>
        <v>0</v>
      </c>
    </row>
    <row r="162" spans="1:107" x14ac:dyDescent="0.2">
      <c r="A162">
        <f>ROW(Source!A83)</f>
        <v>83</v>
      </c>
      <c r="B162">
        <v>44962055</v>
      </c>
      <c r="C162">
        <v>44966976</v>
      </c>
      <c r="D162">
        <v>41363240</v>
      </c>
      <c r="E162">
        <v>1</v>
      </c>
      <c r="F162">
        <v>1</v>
      </c>
      <c r="G162">
        <v>30515945</v>
      </c>
      <c r="H162">
        <v>3</v>
      </c>
      <c r="I162" t="s">
        <v>284</v>
      </c>
      <c r="J162" t="s">
        <v>285</v>
      </c>
      <c r="K162" t="s">
        <v>649</v>
      </c>
      <c r="L162">
        <v>1327</v>
      </c>
      <c r="N162">
        <v>1005</v>
      </c>
      <c r="O162" t="s">
        <v>36</v>
      </c>
      <c r="P162" t="s">
        <v>36</v>
      </c>
      <c r="Q162">
        <v>1</v>
      </c>
      <c r="W162">
        <v>0</v>
      </c>
      <c r="X162">
        <v>-449322226</v>
      </c>
      <c r="Y162">
        <v>100</v>
      </c>
      <c r="AA162">
        <v>1262.48</v>
      </c>
      <c r="AB162">
        <v>0</v>
      </c>
      <c r="AC162">
        <v>0</v>
      </c>
      <c r="AD162">
        <v>0</v>
      </c>
      <c r="AE162">
        <v>269.76</v>
      </c>
      <c r="AF162">
        <v>0</v>
      </c>
      <c r="AG162">
        <v>0</v>
      </c>
      <c r="AH162">
        <v>0</v>
      </c>
      <c r="AI162">
        <v>4.68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3</v>
      </c>
      <c r="AT162">
        <v>100</v>
      </c>
      <c r="AU162" t="s">
        <v>3</v>
      </c>
      <c r="AV162">
        <v>0</v>
      </c>
      <c r="AW162">
        <v>1</v>
      </c>
      <c r="AX162">
        <v>-1</v>
      </c>
      <c r="AY162">
        <v>0</v>
      </c>
      <c r="AZ162">
        <v>0</v>
      </c>
      <c r="BA162" t="s">
        <v>3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Y162*Source!I83</f>
        <v>27</v>
      </c>
      <c r="CY162">
        <f t="shared" si="25"/>
        <v>1262.48</v>
      </c>
      <c r="CZ162">
        <f t="shared" si="26"/>
        <v>269.76</v>
      </c>
      <c r="DA162">
        <f t="shared" si="27"/>
        <v>4.68</v>
      </c>
      <c r="DB162">
        <f t="shared" si="28"/>
        <v>26976</v>
      </c>
      <c r="DC162">
        <f t="shared" si="29"/>
        <v>0</v>
      </c>
    </row>
    <row r="163" spans="1:107" x14ac:dyDescent="0.2">
      <c r="A163">
        <f>ROW(Source!A86)</f>
        <v>86</v>
      </c>
      <c r="B163">
        <v>44962055</v>
      </c>
      <c r="C163">
        <v>44964401</v>
      </c>
      <c r="D163">
        <v>30515951</v>
      </c>
      <c r="E163">
        <v>30515945</v>
      </c>
      <c r="F163">
        <v>1</v>
      </c>
      <c r="G163">
        <v>30515945</v>
      </c>
      <c r="H163">
        <v>1</v>
      </c>
      <c r="I163" t="s">
        <v>388</v>
      </c>
      <c r="J163" t="s">
        <v>3</v>
      </c>
      <c r="K163" t="s">
        <v>389</v>
      </c>
      <c r="L163">
        <v>1191</v>
      </c>
      <c r="N163">
        <v>1013</v>
      </c>
      <c r="O163" t="s">
        <v>390</v>
      </c>
      <c r="P163" t="s">
        <v>390</v>
      </c>
      <c r="Q163">
        <v>1</v>
      </c>
      <c r="W163">
        <v>0</v>
      </c>
      <c r="X163">
        <v>476480486</v>
      </c>
      <c r="Y163">
        <v>8.9930000000000003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S163" t="s">
        <v>3</v>
      </c>
      <c r="AT163">
        <v>7.82</v>
      </c>
      <c r="AU163" t="s">
        <v>18</v>
      </c>
      <c r="AV163">
        <v>1</v>
      </c>
      <c r="AW163">
        <v>2</v>
      </c>
      <c r="AX163">
        <v>44964406</v>
      </c>
      <c r="AY163">
        <v>1</v>
      </c>
      <c r="AZ163">
        <v>0</v>
      </c>
      <c r="BA163">
        <v>160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Y163*Source!I86</f>
        <v>7.7969309999999998</v>
      </c>
      <c r="CY163">
        <f>AD163</f>
        <v>0</v>
      </c>
      <c r="CZ163">
        <f>AH163</f>
        <v>0</v>
      </c>
      <c r="DA163">
        <f>AL163</f>
        <v>1</v>
      </c>
      <c r="DB163">
        <f>ROUND((ROUND(AT163*CZ163,2)*1.15),6)</f>
        <v>0</v>
      </c>
      <c r="DC163">
        <f>ROUND((ROUND(AT163*AG163,2)*1.15),6)</f>
        <v>0</v>
      </c>
    </row>
    <row r="164" spans="1:107" x14ac:dyDescent="0.2">
      <c r="A164">
        <f>ROW(Source!A86)</f>
        <v>86</v>
      </c>
      <c r="B164">
        <v>44962055</v>
      </c>
      <c r="C164">
        <v>44964401</v>
      </c>
      <c r="D164">
        <v>30516999</v>
      </c>
      <c r="E164">
        <v>30515945</v>
      </c>
      <c r="F164">
        <v>1</v>
      </c>
      <c r="G164">
        <v>30515945</v>
      </c>
      <c r="H164">
        <v>2</v>
      </c>
      <c r="I164" t="s">
        <v>438</v>
      </c>
      <c r="J164" t="s">
        <v>3</v>
      </c>
      <c r="K164" t="s">
        <v>439</v>
      </c>
      <c r="L164">
        <v>1344</v>
      </c>
      <c r="N164">
        <v>1008</v>
      </c>
      <c r="O164" t="s">
        <v>440</v>
      </c>
      <c r="P164" t="s">
        <v>440</v>
      </c>
      <c r="Q164">
        <v>1</v>
      </c>
      <c r="W164">
        <v>0</v>
      </c>
      <c r="X164">
        <v>-1180195794</v>
      </c>
      <c r="Y164">
        <v>4.6500000000000004</v>
      </c>
      <c r="AA164">
        <v>0</v>
      </c>
      <c r="AB164">
        <v>1.05</v>
      </c>
      <c r="AC164">
        <v>0</v>
      </c>
      <c r="AD164">
        <v>0</v>
      </c>
      <c r="AE164">
        <v>0</v>
      </c>
      <c r="AF164">
        <v>1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1</v>
      </c>
      <c r="AQ164">
        <v>0</v>
      </c>
      <c r="AR164">
        <v>0</v>
      </c>
      <c r="AS164" t="s">
        <v>3</v>
      </c>
      <c r="AT164">
        <v>3.72</v>
      </c>
      <c r="AU164" t="s">
        <v>17</v>
      </c>
      <c r="AV164">
        <v>0</v>
      </c>
      <c r="AW164">
        <v>2</v>
      </c>
      <c r="AX164">
        <v>44964407</v>
      </c>
      <c r="AY164">
        <v>1</v>
      </c>
      <c r="AZ164">
        <v>0</v>
      </c>
      <c r="BA164">
        <v>161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Y164*Source!I86</f>
        <v>4.0315500000000002</v>
      </c>
      <c r="CY164">
        <f>AB164</f>
        <v>1.05</v>
      </c>
      <c r="CZ164">
        <f>AF164</f>
        <v>1</v>
      </c>
      <c r="DA164">
        <f>AJ164</f>
        <v>1</v>
      </c>
      <c r="DB164">
        <f>ROUND((ROUND(AT164*CZ164,2)*1.25),6)</f>
        <v>4.6500000000000004</v>
      </c>
      <c r="DC164">
        <f>ROUND((ROUND(AT164*AG164,2)*1.25),6)</f>
        <v>0</v>
      </c>
    </row>
    <row r="165" spans="1:107" x14ac:dyDescent="0.2">
      <c r="A165">
        <f>ROW(Source!A86)</f>
        <v>86</v>
      </c>
      <c r="B165">
        <v>44962055</v>
      </c>
      <c r="C165">
        <v>44964401</v>
      </c>
      <c r="D165">
        <v>30595056</v>
      </c>
      <c r="E165">
        <v>1</v>
      </c>
      <c r="F165">
        <v>1</v>
      </c>
      <c r="G165">
        <v>30515945</v>
      </c>
      <c r="H165">
        <v>3</v>
      </c>
      <c r="I165" t="s">
        <v>292</v>
      </c>
      <c r="J165" t="s">
        <v>294</v>
      </c>
      <c r="K165" t="s">
        <v>293</v>
      </c>
      <c r="L165">
        <v>1301</v>
      </c>
      <c r="N165">
        <v>1003</v>
      </c>
      <c r="O165" t="s">
        <v>26</v>
      </c>
      <c r="P165" t="s">
        <v>26</v>
      </c>
      <c r="Q165">
        <v>1</v>
      </c>
      <c r="W165">
        <v>0</v>
      </c>
      <c r="X165">
        <v>608690909</v>
      </c>
      <c r="Y165">
        <v>112</v>
      </c>
      <c r="AA165">
        <v>24.8</v>
      </c>
      <c r="AB165">
        <v>0</v>
      </c>
      <c r="AC165">
        <v>0</v>
      </c>
      <c r="AD165">
        <v>0</v>
      </c>
      <c r="AE165">
        <v>4.0199999999999996</v>
      </c>
      <c r="AF165">
        <v>0</v>
      </c>
      <c r="AG165">
        <v>0</v>
      </c>
      <c r="AH165">
        <v>0</v>
      </c>
      <c r="AI165">
        <v>6.17</v>
      </c>
      <c r="AJ165">
        <v>1</v>
      </c>
      <c r="AK165">
        <v>1</v>
      </c>
      <c r="AL165">
        <v>1</v>
      </c>
      <c r="AN165">
        <v>0</v>
      </c>
      <c r="AO165">
        <v>0</v>
      </c>
      <c r="AP165">
        <v>0</v>
      </c>
      <c r="AQ165">
        <v>0</v>
      </c>
      <c r="AR165">
        <v>0</v>
      </c>
      <c r="AS165" t="s">
        <v>3</v>
      </c>
      <c r="AT165">
        <v>112</v>
      </c>
      <c r="AU165" t="s">
        <v>3</v>
      </c>
      <c r="AV165">
        <v>0</v>
      </c>
      <c r="AW165">
        <v>1</v>
      </c>
      <c r="AX165">
        <v>-1</v>
      </c>
      <c r="AY165">
        <v>0</v>
      </c>
      <c r="AZ165">
        <v>0</v>
      </c>
      <c r="BA165" t="s">
        <v>3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Y165*Source!I86</f>
        <v>97.103999999999999</v>
      </c>
      <c r="CY165">
        <f>AA165</f>
        <v>24.8</v>
      </c>
      <c r="CZ165">
        <f>AE165</f>
        <v>4.0199999999999996</v>
      </c>
      <c r="DA165">
        <f>AI165</f>
        <v>6.17</v>
      </c>
      <c r="DB165">
        <f>ROUND(ROUND(AT165*CZ165,2),6)</f>
        <v>450.24</v>
      </c>
      <c r="DC165">
        <f>ROUND(ROUND(AT165*AG165,2),6)</f>
        <v>0</v>
      </c>
    </row>
    <row r="166" spans="1:107" x14ac:dyDescent="0.2">
      <c r="A166">
        <f>ROW(Source!A86)</f>
        <v>86</v>
      </c>
      <c r="B166">
        <v>44962055</v>
      </c>
      <c r="C166">
        <v>44964401</v>
      </c>
      <c r="D166">
        <v>30541208</v>
      </c>
      <c r="E166">
        <v>30515945</v>
      </c>
      <c r="F166">
        <v>1</v>
      </c>
      <c r="G166">
        <v>30515945</v>
      </c>
      <c r="H166">
        <v>3</v>
      </c>
      <c r="I166" t="s">
        <v>453</v>
      </c>
      <c r="J166" t="s">
        <v>3</v>
      </c>
      <c r="K166" t="s">
        <v>454</v>
      </c>
      <c r="L166">
        <v>1344</v>
      </c>
      <c r="N166">
        <v>1008</v>
      </c>
      <c r="O166" t="s">
        <v>440</v>
      </c>
      <c r="P166" t="s">
        <v>440</v>
      </c>
      <c r="Q166">
        <v>1</v>
      </c>
      <c r="W166">
        <v>0</v>
      </c>
      <c r="X166">
        <v>-94250534</v>
      </c>
      <c r="Y166">
        <v>1.75</v>
      </c>
      <c r="AA166">
        <v>1</v>
      </c>
      <c r="AB166">
        <v>0</v>
      </c>
      <c r="AC166">
        <v>0</v>
      </c>
      <c r="AD166">
        <v>0</v>
      </c>
      <c r="AE166">
        <v>1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3</v>
      </c>
      <c r="AT166">
        <v>1.75</v>
      </c>
      <c r="AU166" t="s">
        <v>3</v>
      </c>
      <c r="AV166">
        <v>0</v>
      </c>
      <c r="AW166">
        <v>2</v>
      </c>
      <c r="AX166">
        <v>44964409</v>
      </c>
      <c r="AY166">
        <v>1</v>
      </c>
      <c r="AZ166">
        <v>0</v>
      </c>
      <c r="BA166">
        <v>163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Y166*Source!I86</f>
        <v>1.51725</v>
      </c>
      <c r="CY166">
        <f>AA166</f>
        <v>1</v>
      </c>
      <c r="CZ166">
        <f>AE166</f>
        <v>1</v>
      </c>
      <c r="DA166">
        <f>AI166</f>
        <v>1</v>
      </c>
      <c r="DB166">
        <f>ROUND(ROUND(AT166*CZ166,2),6)</f>
        <v>1.75</v>
      </c>
      <c r="DC166">
        <f>ROUND(ROUND(AT166*AG166,2),6)</f>
        <v>0</v>
      </c>
    </row>
    <row r="167" spans="1:107" x14ac:dyDescent="0.2">
      <c r="A167">
        <f>ROW(Source!A88)</f>
        <v>88</v>
      </c>
      <c r="B167">
        <v>44962055</v>
      </c>
      <c r="C167">
        <v>44964673</v>
      </c>
      <c r="D167">
        <v>30515951</v>
      </c>
      <c r="E167">
        <v>30515945</v>
      </c>
      <c r="F167">
        <v>1</v>
      </c>
      <c r="G167">
        <v>30515945</v>
      </c>
      <c r="H167">
        <v>1</v>
      </c>
      <c r="I167" t="s">
        <v>388</v>
      </c>
      <c r="J167" t="s">
        <v>3</v>
      </c>
      <c r="K167" t="s">
        <v>389</v>
      </c>
      <c r="L167">
        <v>1191</v>
      </c>
      <c r="N167">
        <v>1013</v>
      </c>
      <c r="O167" t="s">
        <v>390</v>
      </c>
      <c r="P167" t="s">
        <v>390</v>
      </c>
      <c r="Q167">
        <v>1</v>
      </c>
      <c r="W167">
        <v>0</v>
      </c>
      <c r="X167">
        <v>476480486</v>
      </c>
      <c r="Y167">
        <v>1.2765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S167" t="s">
        <v>3</v>
      </c>
      <c r="AT167">
        <v>1.1100000000000001</v>
      </c>
      <c r="AU167" t="s">
        <v>18</v>
      </c>
      <c r="AV167">
        <v>1</v>
      </c>
      <c r="AW167">
        <v>2</v>
      </c>
      <c r="AX167">
        <v>44964674</v>
      </c>
      <c r="AY167">
        <v>1</v>
      </c>
      <c r="AZ167">
        <v>0</v>
      </c>
      <c r="BA167">
        <v>164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Y167*Source!I88</f>
        <v>2.5529999999999999</v>
      </c>
      <c r="CY167">
        <f>AD167</f>
        <v>0</v>
      </c>
      <c r="CZ167">
        <f>AH167</f>
        <v>0</v>
      </c>
      <c r="DA167">
        <f>AL167</f>
        <v>1</v>
      </c>
      <c r="DB167">
        <f>ROUND((ROUND(AT167*CZ167,2)*1.15),6)</f>
        <v>0</v>
      </c>
      <c r="DC167">
        <f>ROUND((ROUND(AT167*AG167,2)*1.15),6)</f>
        <v>0</v>
      </c>
    </row>
    <row r="168" spans="1:107" x14ac:dyDescent="0.2">
      <c r="A168">
        <f>ROW(Source!A88)</f>
        <v>88</v>
      </c>
      <c r="B168">
        <v>44962055</v>
      </c>
      <c r="C168">
        <v>44964673</v>
      </c>
      <c r="D168">
        <v>30595791</v>
      </c>
      <c r="E168">
        <v>1</v>
      </c>
      <c r="F168">
        <v>1</v>
      </c>
      <c r="G168">
        <v>30515945</v>
      </c>
      <c r="H168">
        <v>2</v>
      </c>
      <c r="I168" t="s">
        <v>558</v>
      </c>
      <c r="J168" t="s">
        <v>559</v>
      </c>
      <c r="K168" t="s">
        <v>560</v>
      </c>
      <c r="L168">
        <v>1367</v>
      </c>
      <c r="N168">
        <v>1011</v>
      </c>
      <c r="O168" t="s">
        <v>394</v>
      </c>
      <c r="P168" t="s">
        <v>394</v>
      </c>
      <c r="Q168">
        <v>1</v>
      </c>
      <c r="W168">
        <v>0</v>
      </c>
      <c r="X168">
        <v>-243982840</v>
      </c>
      <c r="Y168">
        <v>0.32500000000000001</v>
      </c>
      <c r="AA168">
        <v>0</v>
      </c>
      <c r="AB168">
        <v>37.58</v>
      </c>
      <c r="AC168">
        <v>6.19</v>
      </c>
      <c r="AD168">
        <v>0</v>
      </c>
      <c r="AE168">
        <v>0</v>
      </c>
      <c r="AF168">
        <v>6.22</v>
      </c>
      <c r="AG168">
        <v>0.28999999999999998</v>
      </c>
      <c r="AH168">
        <v>0</v>
      </c>
      <c r="AI168">
        <v>1</v>
      </c>
      <c r="AJ168">
        <v>5.77</v>
      </c>
      <c r="AK168">
        <v>20.399999999999999</v>
      </c>
      <c r="AL168">
        <v>1</v>
      </c>
      <c r="AN168">
        <v>0</v>
      </c>
      <c r="AO168">
        <v>1</v>
      </c>
      <c r="AP168">
        <v>1</v>
      </c>
      <c r="AQ168">
        <v>0</v>
      </c>
      <c r="AR168">
        <v>0</v>
      </c>
      <c r="AS168" t="s">
        <v>3</v>
      </c>
      <c r="AT168">
        <v>0.26</v>
      </c>
      <c r="AU168" t="s">
        <v>17</v>
      </c>
      <c r="AV168">
        <v>0</v>
      </c>
      <c r="AW168">
        <v>2</v>
      </c>
      <c r="AX168">
        <v>44964675</v>
      </c>
      <c r="AY168">
        <v>1</v>
      </c>
      <c r="AZ168">
        <v>0</v>
      </c>
      <c r="BA168">
        <v>165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Y168*Source!I88</f>
        <v>0.65</v>
      </c>
      <c r="CY168">
        <f>AB168</f>
        <v>37.58</v>
      </c>
      <c r="CZ168">
        <f>AF168</f>
        <v>6.22</v>
      </c>
      <c r="DA168">
        <f>AJ168</f>
        <v>5.77</v>
      </c>
      <c r="DB168">
        <f>ROUND((ROUND(AT168*CZ168,2)*1.25),6)</f>
        <v>2.0249999999999999</v>
      </c>
      <c r="DC168">
        <f>ROUND((ROUND(AT168*AG168,2)*1.25),6)</f>
        <v>0.1</v>
      </c>
    </row>
    <row r="169" spans="1:107" x14ac:dyDescent="0.2">
      <c r="A169">
        <f>ROW(Source!A88)</f>
        <v>88</v>
      </c>
      <c r="B169">
        <v>44962055</v>
      </c>
      <c r="C169">
        <v>44964673</v>
      </c>
      <c r="D169">
        <v>30596120</v>
      </c>
      <c r="E169">
        <v>1</v>
      </c>
      <c r="F169">
        <v>1</v>
      </c>
      <c r="G169">
        <v>30515945</v>
      </c>
      <c r="H169">
        <v>2</v>
      </c>
      <c r="I169" t="s">
        <v>561</v>
      </c>
      <c r="J169" t="s">
        <v>562</v>
      </c>
      <c r="K169" t="s">
        <v>563</v>
      </c>
      <c r="L169">
        <v>1367</v>
      </c>
      <c r="N169">
        <v>1011</v>
      </c>
      <c r="O169" t="s">
        <v>394</v>
      </c>
      <c r="P169" t="s">
        <v>394</v>
      </c>
      <c r="Q169">
        <v>1</v>
      </c>
      <c r="W169">
        <v>0</v>
      </c>
      <c r="X169">
        <v>-875577540</v>
      </c>
      <c r="Y169">
        <v>2.5000000000000001E-2</v>
      </c>
      <c r="AA169">
        <v>0</v>
      </c>
      <c r="AB169">
        <v>5.12</v>
      </c>
      <c r="AC169">
        <v>0.85</v>
      </c>
      <c r="AD169">
        <v>0</v>
      </c>
      <c r="AE169">
        <v>0</v>
      </c>
      <c r="AF169">
        <v>0.68</v>
      </c>
      <c r="AG169">
        <v>0.04</v>
      </c>
      <c r="AH169">
        <v>0</v>
      </c>
      <c r="AI169">
        <v>1</v>
      </c>
      <c r="AJ169">
        <v>7.19</v>
      </c>
      <c r="AK169">
        <v>20.399999999999999</v>
      </c>
      <c r="AL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S169" t="s">
        <v>3</v>
      </c>
      <c r="AT169">
        <v>0.02</v>
      </c>
      <c r="AU169" t="s">
        <v>17</v>
      </c>
      <c r="AV169">
        <v>0</v>
      </c>
      <c r="AW169">
        <v>2</v>
      </c>
      <c r="AX169">
        <v>44964676</v>
      </c>
      <c r="AY169">
        <v>1</v>
      </c>
      <c r="AZ169">
        <v>0</v>
      </c>
      <c r="BA169">
        <v>166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Y169*Source!I88</f>
        <v>0.05</v>
      </c>
      <c r="CY169">
        <f>AB169</f>
        <v>5.12</v>
      </c>
      <c r="CZ169">
        <f>AF169</f>
        <v>0.68</v>
      </c>
      <c r="DA169">
        <f>AJ169</f>
        <v>7.19</v>
      </c>
      <c r="DB169">
        <f>ROUND((ROUND(AT169*CZ169,2)*1.25),6)</f>
        <v>1.2500000000000001E-2</v>
      </c>
      <c r="DC169">
        <f>ROUND((ROUND(AT169*AG169,2)*1.25),6)</f>
        <v>0</v>
      </c>
    </row>
    <row r="170" spans="1:107" x14ac:dyDescent="0.2">
      <c r="A170">
        <f>ROW(Source!A88)</f>
        <v>88</v>
      </c>
      <c r="B170">
        <v>44962055</v>
      </c>
      <c r="C170">
        <v>44964673</v>
      </c>
      <c r="D170">
        <v>30596154</v>
      </c>
      <c r="E170">
        <v>1</v>
      </c>
      <c r="F170">
        <v>1</v>
      </c>
      <c r="G170">
        <v>30515945</v>
      </c>
      <c r="H170">
        <v>2</v>
      </c>
      <c r="I170" t="s">
        <v>401</v>
      </c>
      <c r="J170" t="s">
        <v>402</v>
      </c>
      <c r="K170" t="s">
        <v>403</v>
      </c>
      <c r="L170">
        <v>1367</v>
      </c>
      <c r="N170">
        <v>1011</v>
      </c>
      <c r="O170" t="s">
        <v>394</v>
      </c>
      <c r="P170" t="s">
        <v>394</v>
      </c>
      <c r="Q170">
        <v>1</v>
      </c>
      <c r="W170">
        <v>0</v>
      </c>
      <c r="X170">
        <v>926785503</v>
      </c>
      <c r="Y170">
        <v>0.1875</v>
      </c>
      <c r="AA170">
        <v>0</v>
      </c>
      <c r="AB170">
        <v>5.36</v>
      </c>
      <c r="AC170">
        <v>0.85</v>
      </c>
      <c r="AD170">
        <v>0</v>
      </c>
      <c r="AE170">
        <v>0</v>
      </c>
      <c r="AF170">
        <v>0.64</v>
      </c>
      <c r="AG170">
        <v>0.04</v>
      </c>
      <c r="AH170">
        <v>0</v>
      </c>
      <c r="AI170">
        <v>1</v>
      </c>
      <c r="AJ170">
        <v>8</v>
      </c>
      <c r="AK170">
        <v>20.399999999999999</v>
      </c>
      <c r="AL170">
        <v>1</v>
      </c>
      <c r="AN170">
        <v>0</v>
      </c>
      <c r="AO170">
        <v>1</v>
      </c>
      <c r="AP170">
        <v>1</v>
      </c>
      <c r="AQ170">
        <v>0</v>
      </c>
      <c r="AR170">
        <v>0</v>
      </c>
      <c r="AS170" t="s">
        <v>3</v>
      </c>
      <c r="AT170">
        <v>0.15</v>
      </c>
      <c r="AU170" t="s">
        <v>17</v>
      </c>
      <c r="AV170">
        <v>0</v>
      </c>
      <c r="AW170">
        <v>2</v>
      </c>
      <c r="AX170">
        <v>44964677</v>
      </c>
      <c r="AY170">
        <v>1</v>
      </c>
      <c r="AZ170">
        <v>0</v>
      </c>
      <c r="BA170">
        <v>167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Y170*Source!I88</f>
        <v>0.375</v>
      </c>
      <c r="CY170">
        <f>AB170</f>
        <v>5.36</v>
      </c>
      <c r="CZ170">
        <f>AF170</f>
        <v>0.64</v>
      </c>
      <c r="DA170">
        <f>AJ170</f>
        <v>8</v>
      </c>
      <c r="DB170">
        <f>ROUND((ROUND(AT170*CZ170,2)*1.25),6)</f>
        <v>0.125</v>
      </c>
      <c r="DC170">
        <f>ROUND((ROUND(AT170*AG170,2)*1.25),6)</f>
        <v>1.2500000000000001E-2</v>
      </c>
    </row>
    <row r="171" spans="1:107" x14ac:dyDescent="0.2">
      <c r="A171">
        <f>ROW(Source!A88)</f>
        <v>88</v>
      </c>
      <c r="B171">
        <v>44962055</v>
      </c>
      <c r="C171">
        <v>44964673</v>
      </c>
      <c r="D171">
        <v>30596108</v>
      </c>
      <c r="E171">
        <v>1</v>
      </c>
      <c r="F171">
        <v>1</v>
      </c>
      <c r="G171">
        <v>30515945</v>
      </c>
      <c r="H171">
        <v>2</v>
      </c>
      <c r="I171" t="s">
        <v>488</v>
      </c>
      <c r="J171" t="s">
        <v>489</v>
      </c>
      <c r="K171" t="s">
        <v>490</v>
      </c>
      <c r="L171">
        <v>1367</v>
      </c>
      <c r="N171">
        <v>1011</v>
      </c>
      <c r="O171" t="s">
        <v>394</v>
      </c>
      <c r="P171" t="s">
        <v>394</v>
      </c>
      <c r="Q171">
        <v>1</v>
      </c>
      <c r="W171">
        <v>0</v>
      </c>
      <c r="X171">
        <v>950854334</v>
      </c>
      <c r="Y171">
        <v>0.13750000000000001</v>
      </c>
      <c r="AA171">
        <v>0</v>
      </c>
      <c r="AB171">
        <v>26.81</v>
      </c>
      <c r="AC171">
        <v>2.14</v>
      </c>
      <c r="AD171">
        <v>0</v>
      </c>
      <c r="AE171">
        <v>0</v>
      </c>
      <c r="AF171">
        <v>2.36</v>
      </c>
      <c r="AG171">
        <v>0.1</v>
      </c>
      <c r="AH171">
        <v>0</v>
      </c>
      <c r="AI171">
        <v>1</v>
      </c>
      <c r="AJ171">
        <v>10.85</v>
      </c>
      <c r="AK171">
        <v>20.399999999999999</v>
      </c>
      <c r="AL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S171" t="s">
        <v>3</v>
      </c>
      <c r="AT171">
        <v>0.11</v>
      </c>
      <c r="AU171" t="s">
        <v>17</v>
      </c>
      <c r="AV171">
        <v>0</v>
      </c>
      <c r="AW171">
        <v>2</v>
      </c>
      <c r="AX171">
        <v>44964678</v>
      </c>
      <c r="AY171">
        <v>1</v>
      </c>
      <c r="AZ171">
        <v>0</v>
      </c>
      <c r="BA171">
        <v>168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Y171*Source!I88</f>
        <v>0.27500000000000002</v>
      </c>
      <c r="CY171">
        <f>AB171</f>
        <v>26.81</v>
      </c>
      <c r="CZ171">
        <f>AF171</f>
        <v>2.36</v>
      </c>
      <c r="DA171">
        <f>AJ171</f>
        <v>10.85</v>
      </c>
      <c r="DB171">
        <f>ROUND((ROUND(AT171*CZ171,2)*1.25),6)</f>
        <v>0.32500000000000001</v>
      </c>
      <c r="DC171">
        <f>ROUND((ROUND(AT171*AG171,2)*1.25),6)</f>
        <v>1.2500000000000001E-2</v>
      </c>
    </row>
    <row r="172" spans="1:107" x14ac:dyDescent="0.2">
      <c r="A172">
        <f>ROW(Source!A88)</f>
        <v>88</v>
      </c>
      <c r="B172">
        <v>44962055</v>
      </c>
      <c r="C172">
        <v>44964673</v>
      </c>
      <c r="D172">
        <v>30573429</v>
      </c>
      <c r="E172">
        <v>1</v>
      </c>
      <c r="F172">
        <v>1</v>
      </c>
      <c r="G172">
        <v>30515945</v>
      </c>
      <c r="H172">
        <v>3</v>
      </c>
      <c r="I172" t="s">
        <v>564</v>
      </c>
      <c r="J172" t="s">
        <v>565</v>
      </c>
      <c r="K172" t="s">
        <v>566</v>
      </c>
      <c r="L172">
        <v>1346</v>
      </c>
      <c r="N172">
        <v>1009</v>
      </c>
      <c r="O172" t="s">
        <v>55</v>
      </c>
      <c r="P172" t="s">
        <v>55</v>
      </c>
      <c r="Q172">
        <v>1</v>
      </c>
      <c r="W172">
        <v>0</v>
      </c>
      <c r="X172">
        <v>-1260154368</v>
      </c>
      <c r="Y172">
        <v>0.02</v>
      </c>
      <c r="AA172">
        <v>93.02</v>
      </c>
      <c r="AB172">
        <v>0</v>
      </c>
      <c r="AC172">
        <v>0</v>
      </c>
      <c r="AD172">
        <v>0</v>
      </c>
      <c r="AE172">
        <v>20.63</v>
      </c>
      <c r="AF172">
        <v>0</v>
      </c>
      <c r="AG172">
        <v>0</v>
      </c>
      <c r="AH172">
        <v>0</v>
      </c>
      <c r="AI172">
        <v>4.5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3</v>
      </c>
      <c r="AT172">
        <v>0.02</v>
      </c>
      <c r="AU172" t="s">
        <v>3</v>
      </c>
      <c r="AV172">
        <v>0</v>
      </c>
      <c r="AW172">
        <v>2</v>
      </c>
      <c r="AX172">
        <v>44964679</v>
      </c>
      <c r="AY172">
        <v>1</v>
      </c>
      <c r="AZ172">
        <v>0</v>
      </c>
      <c r="BA172">
        <v>169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Y172*Source!I88</f>
        <v>0.04</v>
      </c>
      <c r="CY172">
        <f>AA172</f>
        <v>93.02</v>
      </c>
      <c r="CZ172">
        <f>AE172</f>
        <v>20.63</v>
      </c>
      <c r="DA172">
        <f>AI172</f>
        <v>4.5</v>
      </c>
      <c r="DB172">
        <f>ROUND(ROUND(AT172*CZ172,2),6)</f>
        <v>0.41</v>
      </c>
      <c r="DC172">
        <f>ROUND(ROUND(AT172*AG172,2),6)</f>
        <v>0</v>
      </c>
    </row>
    <row r="173" spans="1:107" x14ac:dyDescent="0.2">
      <c r="A173">
        <f>ROW(Source!A88)</f>
        <v>88</v>
      </c>
      <c r="B173">
        <v>44962055</v>
      </c>
      <c r="C173">
        <v>44964673</v>
      </c>
      <c r="D173">
        <v>30594396</v>
      </c>
      <c r="E173">
        <v>1</v>
      </c>
      <c r="F173">
        <v>1</v>
      </c>
      <c r="G173">
        <v>30515945</v>
      </c>
      <c r="H173">
        <v>3</v>
      </c>
      <c r="I173" t="s">
        <v>303</v>
      </c>
      <c r="J173" t="s">
        <v>305</v>
      </c>
      <c r="K173" t="s">
        <v>304</v>
      </c>
      <c r="L173">
        <v>1391</v>
      </c>
      <c r="N173">
        <v>1013</v>
      </c>
      <c r="O173" t="s">
        <v>113</v>
      </c>
      <c r="P173" t="s">
        <v>113</v>
      </c>
      <c r="Q173">
        <v>1</v>
      </c>
      <c r="W173">
        <v>0</v>
      </c>
      <c r="X173">
        <v>568915023</v>
      </c>
      <c r="Y173">
        <v>1</v>
      </c>
      <c r="AA173">
        <v>5547.05</v>
      </c>
      <c r="AB173">
        <v>0</v>
      </c>
      <c r="AC173">
        <v>0</v>
      </c>
      <c r="AD173">
        <v>0</v>
      </c>
      <c r="AE173">
        <v>1390.95</v>
      </c>
      <c r="AF173">
        <v>0</v>
      </c>
      <c r="AG173">
        <v>0</v>
      </c>
      <c r="AH173">
        <v>0</v>
      </c>
      <c r="AI173">
        <v>3.98</v>
      </c>
      <c r="AJ173">
        <v>1</v>
      </c>
      <c r="AK173">
        <v>1</v>
      </c>
      <c r="AL173">
        <v>1</v>
      </c>
      <c r="AN173">
        <v>0</v>
      </c>
      <c r="AO173">
        <v>0</v>
      </c>
      <c r="AP173">
        <v>0</v>
      </c>
      <c r="AQ173">
        <v>0</v>
      </c>
      <c r="AR173">
        <v>0</v>
      </c>
      <c r="AS173" t="s">
        <v>3</v>
      </c>
      <c r="AT173">
        <v>1</v>
      </c>
      <c r="AU173" t="s">
        <v>3</v>
      </c>
      <c r="AV173">
        <v>0</v>
      </c>
      <c r="AW173">
        <v>1</v>
      </c>
      <c r="AX173">
        <v>-1</v>
      </c>
      <c r="AY173">
        <v>0</v>
      </c>
      <c r="AZ173">
        <v>0</v>
      </c>
      <c r="BA173" t="s">
        <v>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Y173*Source!I88</f>
        <v>2</v>
      </c>
      <c r="CY173">
        <f>AA173</f>
        <v>5547.05</v>
      </c>
      <c r="CZ173">
        <f>AE173</f>
        <v>1390.95</v>
      </c>
      <c r="DA173">
        <f>AI173</f>
        <v>3.98</v>
      </c>
      <c r="DB173">
        <f>ROUND(ROUND(AT173*CZ173,2),6)</f>
        <v>1390.95</v>
      </c>
      <c r="DC173">
        <f>ROUND(ROUND(AT173*AG173,2),6)</f>
        <v>0</v>
      </c>
    </row>
    <row r="174" spans="1:107" x14ac:dyDescent="0.2">
      <c r="A174">
        <f>ROW(Source!A90)</f>
        <v>90</v>
      </c>
      <c r="B174">
        <v>44962055</v>
      </c>
      <c r="C174">
        <v>44965752</v>
      </c>
      <c r="D174">
        <v>30515951</v>
      </c>
      <c r="E174">
        <v>30515945</v>
      </c>
      <c r="F174">
        <v>1</v>
      </c>
      <c r="G174">
        <v>30515945</v>
      </c>
      <c r="H174">
        <v>1</v>
      </c>
      <c r="I174" t="s">
        <v>388</v>
      </c>
      <c r="J174" t="s">
        <v>3</v>
      </c>
      <c r="K174" t="s">
        <v>389</v>
      </c>
      <c r="L174">
        <v>1191</v>
      </c>
      <c r="N174">
        <v>1013</v>
      </c>
      <c r="O174" t="s">
        <v>390</v>
      </c>
      <c r="P174" t="s">
        <v>390</v>
      </c>
      <c r="Q174">
        <v>1</v>
      </c>
      <c r="W174">
        <v>0</v>
      </c>
      <c r="X174">
        <v>476480486</v>
      </c>
      <c r="Y174">
        <v>4.5655000000000001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1</v>
      </c>
      <c r="AQ174">
        <v>0</v>
      </c>
      <c r="AR174">
        <v>0</v>
      </c>
      <c r="AS174" t="s">
        <v>3</v>
      </c>
      <c r="AT174">
        <v>3.97</v>
      </c>
      <c r="AU174" t="s">
        <v>18</v>
      </c>
      <c r="AV174">
        <v>1</v>
      </c>
      <c r="AW174">
        <v>2</v>
      </c>
      <c r="AX174">
        <v>44965753</v>
      </c>
      <c r="AY174">
        <v>1</v>
      </c>
      <c r="AZ174">
        <v>0</v>
      </c>
      <c r="BA174">
        <v>171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Y174*Source!I90</f>
        <v>7.7613500000000002</v>
      </c>
      <c r="CY174">
        <f>AD174</f>
        <v>0</v>
      </c>
      <c r="CZ174">
        <f>AH174</f>
        <v>0</v>
      </c>
      <c r="DA174">
        <f>AL174</f>
        <v>1</v>
      </c>
      <c r="DB174">
        <f>ROUND((ROUND(AT174*CZ174,2)*1.15),6)</f>
        <v>0</v>
      </c>
      <c r="DC174">
        <f>ROUND((ROUND(AT174*AG174,2)*1.15),6)</f>
        <v>0</v>
      </c>
    </row>
    <row r="175" spans="1:107" x14ac:dyDescent="0.2">
      <c r="A175">
        <f>ROW(Source!A90)</f>
        <v>90</v>
      </c>
      <c r="B175">
        <v>44962055</v>
      </c>
      <c r="C175">
        <v>44965752</v>
      </c>
      <c r="D175">
        <v>30516999</v>
      </c>
      <c r="E175">
        <v>30515945</v>
      </c>
      <c r="F175">
        <v>1</v>
      </c>
      <c r="G175">
        <v>30515945</v>
      </c>
      <c r="H175">
        <v>2</v>
      </c>
      <c r="I175" t="s">
        <v>438</v>
      </c>
      <c r="J175" t="s">
        <v>3</v>
      </c>
      <c r="K175" t="s">
        <v>439</v>
      </c>
      <c r="L175">
        <v>1344</v>
      </c>
      <c r="N175">
        <v>1008</v>
      </c>
      <c r="O175" t="s">
        <v>440</v>
      </c>
      <c r="P175" t="s">
        <v>440</v>
      </c>
      <c r="Q175">
        <v>1</v>
      </c>
      <c r="W175">
        <v>0</v>
      </c>
      <c r="X175">
        <v>-1180195794</v>
      </c>
      <c r="Y175">
        <v>0.52500000000000002</v>
      </c>
      <c r="AA175">
        <v>0</v>
      </c>
      <c r="AB175">
        <v>1.05</v>
      </c>
      <c r="AC175">
        <v>0</v>
      </c>
      <c r="AD175">
        <v>0</v>
      </c>
      <c r="AE175">
        <v>0</v>
      </c>
      <c r="AF175">
        <v>1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3</v>
      </c>
      <c r="AT175">
        <v>0.42</v>
      </c>
      <c r="AU175" t="s">
        <v>17</v>
      </c>
      <c r="AV175">
        <v>0</v>
      </c>
      <c r="AW175">
        <v>2</v>
      </c>
      <c r="AX175">
        <v>44965754</v>
      </c>
      <c r="AY175">
        <v>1</v>
      </c>
      <c r="AZ175">
        <v>0</v>
      </c>
      <c r="BA175">
        <v>172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Y175*Source!I90</f>
        <v>0.89249999999999996</v>
      </c>
      <c r="CY175">
        <f>AB175</f>
        <v>1.05</v>
      </c>
      <c r="CZ175">
        <f>AF175</f>
        <v>1</v>
      </c>
      <c r="DA175">
        <f>AJ175</f>
        <v>1</v>
      </c>
      <c r="DB175">
        <f>ROUND((ROUND(AT175*CZ175,2)*1.25),6)</f>
        <v>0.52500000000000002</v>
      </c>
      <c r="DC175">
        <f>ROUND((ROUND(AT175*AG175,2)*1.25),6)</f>
        <v>0</v>
      </c>
    </row>
    <row r="176" spans="1:107" x14ac:dyDescent="0.2">
      <c r="A176">
        <f>ROW(Source!A90)</f>
        <v>90</v>
      </c>
      <c r="B176">
        <v>44962055</v>
      </c>
      <c r="C176">
        <v>44965752</v>
      </c>
      <c r="D176">
        <v>30571178</v>
      </c>
      <c r="E176">
        <v>1</v>
      </c>
      <c r="F176">
        <v>1</v>
      </c>
      <c r="G176">
        <v>30515945</v>
      </c>
      <c r="H176">
        <v>3</v>
      </c>
      <c r="I176" t="s">
        <v>497</v>
      </c>
      <c r="J176" t="s">
        <v>498</v>
      </c>
      <c r="K176" t="s">
        <v>499</v>
      </c>
      <c r="L176">
        <v>1346</v>
      </c>
      <c r="N176">
        <v>1009</v>
      </c>
      <c r="O176" t="s">
        <v>55</v>
      </c>
      <c r="P176" t="s">
        <v>55</v>
      </c>
      <c r="Q176">
        <v>1</v>
      </c>
      <c r="W176">
        <v>0</v>
      </c>
      <c r="X176">
        <v>622621594</v>
      </c>
      <c r="Y176">
        <v>1</v>
      </c>
      <c r="AA176">
        <v>49.48</v>
      </c>
      <c r="AB176">
        <v>0</v>
      </c>
      <c r="AC176">
        <v>0</v>
      </c>
      <c r="AD176">
        <v>0</v>
      </c>
      <c r="AE176">
        <v>1.61</v>
      </c>
      <c r="AF176">
        <v>0</v>
      </c>
      <c r="AG176">
        <v>0</v>
      </c>
      <c r="AH176">
        <v>0</v>
      </c>
      <c r="AI176">
        <v>30.73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3</v>
      </c>
      <c r="AT176">
        <v>1</v>
      </c>
      <c r="AU176" t="s">
        <v>3</v>
      </c>
      <c r="AV176">
        <v>0</v>
      </c>
      <c r="AW176">
        <v>2</v>
      </c>
      <c r="AX176">
        <v>44965755</v>
      </c>
      <c r="AY176">
        <v>1</v>
      </c>
      <c r="AZ176">
        <v>0</v>
      </c>
      <c r="BA176">
        <v>173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Y176*Source!I90</f>
        <v>1.7</v>
      </c>
      <c r="CY176">
        <f>AA176</f>
        <v>49.48</v>
      </c>
      <c r="CZ176">
        <f>AE176</f>
        <v>1.61</v>
      </c>
      <c r="DA176">
        <f>AI176</f>
        <v>30.73</v>
      </c>
      <c r="DB176">
        <f>ROUND(ROUND(AT176*CZ176,2),6)</f>
        <v>1.61</v>
      </c>
      <c r="DC176">
        <f>ROUND(ROUND(AT176*AG176,2),6)</f>
        <v>0</v>
      </c>
    </row>
    <row r="177" spans="1:107" x14ac:dyDescent="0.2">
      <c r="A177">
        <f>ROW(Source!A90)</f>
        <v>90</v>
      </c>
      <c r="B177">
        <v>44962055</v>
      </c>
      <c r="C177">
        <v>44965752</v>
      </c>
      <c r="D177">
        <v>30594328</v>
      </c>
      <c r="E177">
        <v>1</v>
      </c>
      <c r="F177">
        <v>1</v>
      </c>
      <c r="G177">
        <v>30515945</v>
      </c>
      <c r="H177">
        <v>3</v>
      </c>
      <c r="I177" t="s">
        <v>280</v>
      </c>
      <c r="J177" t="s">
        <v>282</v>
      </c>
      <c r="K177" t="s">
        <v>281</v>
      </c>
      <c r="L177">
        <v>1391</v>
      </c>
      <c r="N177">
        <v>1013</v>
      </c>
      <c r="O177" t="s">
        <v>113</v>
      </c>
      <c r="P177" t="s">
        <v>113</v>
      </c>
      <c r="Q177">
        <v>1</v>
      </c>
      <c r="W177">
        <v>0</v>
      </c>
      <c r="X177">
        <v>-189742698</v>
      </c>
      <c r="Y177">
        <v>10</v>
      </c>
      <c r="AA177">
        <v>319.43</v>
      </c>
      <c r="AB177">
        <v>0</v>
      </c>
      <c r="AC177">
        <v>0</v>
      </c>
      <c r="AD177">
        <v>0</v>
      </c>
      <c r="AE177">
        <v>72.27</v>
      </c>
      <c r="AF177">
        <v>0</v>
      </c>
      <c r="AG177">
        <v>0</v>
      </c>
      <c r="AH177">
        <v>0</v>
      </c>
      <c r="AI177">
        <v>4.42</v>
      </c>
      <c r="AJ177">
        <v>1</v>
      </c>
      <c r="AK177">
        <v>1</v>
      </c>
      <c r="AL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S177" t="s">
        <v>3</v>
      </c>
      <c r="AT177">
        <v>10</v>
      </c>
      <c r="AU177" t="s">
        <v>3</v>
      </c>
      <c r="AV177">
        <v>0</v>
      </c>
      <c r="AW177">
        <v>1</v>
      </c>
      <c r="AX177">
        <v>-1</v>
      </c>
      <c r="AY177">
        <v>0</v>
      </c>
      <c r="AZ177">
        <v>0</v>
      </c>
      <c r="BA177" t="s">
        <v>3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Y177*Source!I90</f>
        <v>17</v>
      </c>
      <c r="CY177">
        <f>AA177</f>
        <v>319.43</v>
      </c>
      <c r="CZ177">
        <f>AE177</f>
        <v>72.27</v>
      </c>
      <c r="DA177">
        <f>AI177</f>
        <v>4.42</v>
      </c>
      <c r="DB177">
        <f>ROUND(ROUND(AT177*CZ177,2),6)</f>
        <v>722.7</v>
      </c>
      <c r="DC177">
        <f>ROUND(ROUND(AT177*AG177,2),6)</f>
        <v>0</v>
      </c>
    </row>
    <row r="178" spans="1:107" x14ac:dyDescent="0.2">
      <c r="A178">
        <f>ROW(Source!A92)</f>
        <v>92</v>
      </c>
      <c r="B178">
        <v>44962055</v>
      </c>
      <c r="C178">
        <v>44965764</v>
      </c>
      <c r="D178">
        <v>30515951</v>
      </c>
      <c r="E178">
        <v>30515945</v>
      </c>
      <c r="F178">
        <v>1</v>
      </c>
      <c r="G178">
        <v>30515945</v>
      </c>
      <c r="H178">
        <v>1</v>
      </c>
      <c r="I178" t="s">
        <v>388</v>
      </c>
      <c r="J178" t="s">
        <v>3</v>
      </c>
      <c r="K178" t="s">
        <v>389</v>
      </c>
      <c r="L178">
        <v>1191</v>
      </c>
      <c r="N178">
        <v>1013</v>
      </c>
      <c r="O178" t="s">
        <v>390</v>
      </c>
      <c r="P178" t="s">
        <v>390</v>
      </c>
      <c r="Q178">
        <v>1</v>
      </c>
      <c r="W178">
        <v>0</v>
      </c>
      <c r="X178">
        <v>476480486</v>
      </c>
      <c r="Y178">
        <v>295.596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1</v>
      </c>
      <c r="AQ178">
        <v>0</v>
      </c>
      <c r="AR178">
        <v>0</v>
      </c>
      <c r="AS178" t="s">
        <v>3</v>
      </c>
      <c r="AT178">
        <v>257.04000000000002</v>
      </c>
      <c r="AU178" t="s">
        <v>18</v>
      </c>
      <c r="AV178">
        <v>1</v>
      </c>
      <c r="AW178">
        <v>2</v>
      </c>
      <c r="AX178">
        <v>44965765</v>
      </c>
      <c r="AY178">
        <v>1</v>
      </c>
      <c r="AZ178">
        <v>0</v>
      </c>
      <c r="BA178">
        <v>175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Y178*Source!I92</f>
        <v>51.256346399999998</v>
      </c>
      <c r="CY178">
        <f>AD178</f>
        <v>0</v>
      </c>
      <c r="CZ178">
        <f>AH178</f>
        <v>0</v>
      </c>
      <c r="DA178">
        <f>AL178</f>
        <v>1</v>
      </c>
      <c r="DB178">
        <f>ROUND((ROUND(AT178*CZ178,2)*1.15),6)</f>
        <v>0</v>
      </c>
      <c r="DC178">
        <f>ROUND((ROUND(AT178*AG178,2)*1.15),6)</f>
        <v>0</v>
      </c>
    </row>
    <row r="179" spans="1:107" x14ac:dyDescent="0.2">
      <c r="A179">
        <f>ROW(Source!A92)</f>
        <v>92</v>
      </c>
      <c r="B179">
        <v>44962055</v>
      </c>
      <c r="C179">
        <v>44965764</v>
      </c>
      <c r="D179">
        <v>30596128</v>
      </c>
      <c r="E179">
        <v>1</v>
      </c>
      <c r="F179">
        <v>1</v>
      </c>
      <c r="G179">
        <v>30515945</v>
      </c>
      <c r="H179">
        <v>2</v>
      </c>
      <c r="I179" t="s">
        <v>506</v>
      </c>
      <c r="J179" t="s">
        <v>507</v>
      </c>
      <c r="K179" t="s">
        <v>508</v>
      </c>
      <c r="L179">
        <v>1367</v>
      </c>
      <c r="N179">
        <v>1011</v>
      </c>
      <c r="O179" t="s">
        <v>394</v>
      </c>
      <c r="P179" t="s">
        <v>394</v>
      </c>
      <c r="Q179">
        <v>1</v>
      </c>
      <c r="W179">
        <v>0</v>
      </c>
      <c r="X179">
        <v>2073069139</v>
      </c>
      <c r="Y179">
        <v>28</v>
      </c>
      <c r="AA179">
        <v>0</v>
      </c>
      <c r="AB179">
        <v>4.1100000000000003</v>
      </c>
      <c r="AC179">
        <v>0.64</v>
      </c>
      <c r="AD179">
        <v>0</v>
      </c>
      <c r="AE179">
        <v>0</v>
      </c>
      <c r="AF179">
        <v>0.81</v>
      </c>
      <c r="AG179">
        <v>0.03</v>
      </c>
      <c r="AH179">
        <v>0</v>
      </c>
      <c r="AI179">
        <v>1</v>
      </c>
      <c r="AJ179">
        <v>4.8499999999999996</v>
      </c>
      <c r="AK179">
        <v>20.399999999999999</v>
      </c>
      <c r="AL179">
        <v>1</v>
      </c>
      <c r="AN179">
        <v>0</v>
      </c>
      <c r="AO179">
        <v>1</v>
      </c>
      <c r="AP179">
        <v>1</v>
      </c>
      <c r="AQ179">
        <v>0</v>
      </c>
      <c r="AR179">
        <v>0</v>
      </c>
      <c r="AS179" t="s">
        <v>3</v>
      </c>
      <c r="AT179">
        <v>22.4</v>
      </c>
      <c r="AU179" t="s">
        <v>17</v>
      </c>
      <c r="AV179">
        <v>0</v>
      </c>
      <c r="AW179">
        <v>2</v>
      </c>
      <c r="AX179">
        <v>44965766</v>
      </c>
      <c r="AY179">
        <v>1</v>
      </c>
      <c r="AZ179">
        <v>0</v>
      </c>
      <c r="BA179">
        <v>176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Y179*Source!I92</f>
        <v>4.8552</v>
      </c>
      <c r="CY179">
        <f>AB179</f>
        <v>4.1100000000000003</v>
      </c>
      <c r="CZ179">
        <f>AF179</f>
        <v>0.81</v>
      </c>
      <c r="DA179">
        <f>AJ179</f>
        <v>4.8499999999999996</v>
      </c>
      <c r="DB179">
        <f>ROUND((ROUND(AT179*CZ179,2)*1.25),6)</f>
        <v>22.675000000000001</v>
      </c>
      <c r="DC179">
        <f>ROUND((ROUND(AT179*AG179,2)*1.25),6)</f>
        <v>0.83750000000000002</v>
      </c>
    </row>
    <row r="180" spans="1:107" x14ac:dyDescent="0.2">
      <c r="A180">
        <f>ROW(Source!A92)</f>
        <v>92</v>
      </c>
      <c r="B180">
        <v>44962055</v>
      </c>
      <c r="C180">
        <v>44965764</v>
      </c>
      <c r="D180">
        <v>30596154</v>
      </c>
      <c r="E180">
        <v>1</v>
      </c>
      <c r="F180">
        <v>1</v>
      </c>
      <c r="G180">
        <v>30515945</v>
      </c>
      <c r="H180">
        <v>2</v>
      </c>
      <c r="I180" t="s">
        <v>401</v>
      </c>
      <c r="J180" t="s">
        <v>402</v>
      </c>
      <c r="K180" t="s">
        <v>403</v>
      </c>
      <c r="L180">
        <v>1367</v>
      </c>
      <c r="N180">
        <v>1011</v>
      </c>
      <c r="O180" t="s">
        <v>394</v>
      </c>
      <c r="P180" t="s">
        <v>394</v>
      </c>
      <c r="Q180">
        <v>1</v>
      </c>
      <c r="W180">
        <v>0</v>
      </c>
      <c r="X180">
        <v>926785503</v>
      </c>
      <c r="Y180">
        <v>20.875</v>
      </c>
      <c r="AA180">
        <v>0</v>
      </c>
      <c r="AB180">
        <v>5.36</v>
      </c>
      <c r="AC180">
        <v>0.85</v>
      </c>
      <c r="AD180">
        <v>0</v>
      </c>
      <c r="AE180">
        <v>0</v>
      </c>
      <c r="AF180">
        <v>0.64</v>
      </c>
      <c r="AG180">
        <v>0.04</v>
      </c>
      <c r="AH180">
        <v>0</v>
      </c>
      <c r="AI180">
        <v>1</v>
      </c>
      <c r="AJ180">
        <v>8</v>
      </c>
      <c r="AK180">
        <v>20.399999999999999</v>
      </c>
      <c r="AL180">
        <v>1</v>
      </c>
      <c r="AN180">
        <v>0</v>
      </c>
      <c r="AO180">
        <v>1</v>
      </c>
      <c r="AP180">
        <v>1</v>
      </c>
      <c r="AQ180">
        <v>0</v>
      </c>
      <c r="AR180">
        <v>0</v>
      </c>
      <c r="AS180" t="s">
        <v>3</v>
      </c>
      <c r="AT180">
        <v>16.7</v>
      </c>
      <c r="AU180" t="s">
        <v>17</v>
      </c>
      <c r="AV180">
        <v>0</v>
      </c>
      <c r="AW180">
        <v>2</v>
      </c>
      <c r="AX180">
        <v>44965767</v>
      </c>
      <c r="AY180">
        <v>1</v>
      </c>
      <c r="AZ180">
        <v>0</v>
      </c>
      <c r="BA180">
        <v>177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Y180*Source!I92</f>
        <v>3.6197249999999999</v>
      </c>
      <c r="CY180">
        <f>AB180</f>
        <v>5.36</v>
      </c>
      <c r="CZ180">
        <f>AF180</f>
        <v>0.64</v>
      </c>
      <c r="DA180">
        <f>AJ180</f>
        <v>8</v>
      </c>
      <c r="DB180">
        <f>ROUND((ROUND(AT180*CZ180,2)*1.25),6)</f>
        <v>13.362500000000001</v>
      </c>
      <c r="DC180">
        <f>ROUND((ROUND(AT180*AG180,2)*1.25),6)</f>
        <v>0.83750000000000002</v>
      </c>
    </row>
    <row r="181" spans="1:107" x14ac:dyDescent="0.2">
      <c r="A181">
        <f>ROW(Source!A92)</f>
        <v>92</v>
      </c>
      <c r="B181">
        <v>44962055</v>
      </c>
      <c r="C181">
        <v>44965764</v>
      </c>
      <c r="D181">
        <v>30596108</v>
      </c>
      <c r="E181">
        <v>1</v>
      </c>
      <c r="F181">
        <v>1</v>
      </c>
      <c r="G181">
        <v>30515945</v>
      </c>
      <c r="H181">
        <v>2</v>
      </c>
      <c r="I181" t="s">
        <v>488</v>
      </c>
      <c r="J181" t="s">
        <v>489</v>
      </c>
      <c r="K181" t="s">
        <v>490</v>
      </c>
      <c r="L181">
        <v>1367</v>
      </c>
      <c r="N181">
        <v>1011</v>
      </c>
      <c r="O181" t="s">
        <v>394</v>
      </c>
      <c r="P181" t="s">
        <v>394</v>
      </c>
      <c r="Q181">
        <v>1</v>
      </c>
      <c r="W181">
        <v>0</v>
      </c>
      <c r="X181">
        <v>950854334</v>
      </c>
      <c r="Y181">
        <v>41.625</v>
      </c>
      <c r="AA181">
        <v>0</v>
      </c>
      <c r="AB181">
        <v>26.81</v>
      </c>
      <c r="AC181">
        <v>2.14</v>
      </c>
      <c r="AD181">
        <v>0</v>
      </c>
      <c r="AE181">
        <v>0</v>
      </c>
      <c r="AF181">
        <v>2.36</v>
      </c>
      <c r="AG181">
        <v>0.1</v>
      </c>
      <c r="AH181">
        <v>0</v>
      </c>
      <c r="AI181">
        <v>1</v>
      </c>
      <c r="AJ181">
        <v>10.85</v>
      </c>
      <c r="AK181">
        <v>20.399999999999999</v>
      </c>
      <c r="AL181">
        <v>1</v>
      </c>
      <c r="AN181">
        <v>0</v>
      </c>
      <c r="AO181">
        <v>1</v>
      </c>
      <c r="AP181">
        <v>1</v>
      </c>
      <c r="AQ181">
        <v>0</v>
      </c>
      <c r="AR181">
        <v>0</v>
      </c>
      <c r="AS181" t="s">
        <v>3</v>
      </c>
      <c r="AT181">
        <v>33.299999999999997</v>
      </c>
      <c r="AU181" t="s">
        <v>17</v>
      </c>
      <c r="AV181">
        <v>0</v>
      </c>
      <c r="AW181">
        <v>2</v>
      </c>
      <c r="AX181">
        <v>44965768</v>
      </c>
      <c r="AY181">
        <v>1</v>
      </c>
      <c r="AZ181">
        <v>0</v>
      </c>
      <c r="BA181">
        <v>178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Y181*Source!I92</f>
        <v>7.2177749999999996</v>
      </c>
      <c r="CY181">
        <f>AB181</f>
        <v>26.81</v>
      </c>
      <c r="CZ181">
        <f>AF181</f>
        <v>2.36</v>
      </c>
      <c r="DA181">
        <f>AJ181</f>
        <v>10.85</v>
      </c>
      <c r="DB181">
        <f>ROUND((ROUND(AT181*CZ181,2)*1.25),6)</f>
        <v>98.237499999999997</v>
      </c>
      <c r="DC181">
        <f>ROUND((ROUND(AT181*AG181,2)*1.25),6)</f>
        <v>4.1624999999999996</v>
      </c>
    </row>
    <row r="182" spans="1:107" x14ac:dyDescent="0.2">
      <c r="A182">
        <f>ROW(Source!A92)</f>
        <v>92</v>
      </c>
      <c r="B182">
        <v>44962055</v>
      </c>
      <c r="C182">
        <v>44965764</v>
      </c>
      <c r="D182">
        <v>30572990</v>
      </c>
      <c r="E182">
        <v>1</v>
      </c>
      <c r="F182">
        <v>1</v>
      </c>
      <c r="G182">
        <v>30515945</v>
      </c>
      <c r="H182">
        <v>3</v>
      </c>
      <c r="I182" t="s">
        <v>567</v>
      </c>
      <c r="J182" t="s">
        <v>568</v>
      </c>
      <c r="K182" t="s">
        <v>569</v>
      </c>
      <c r="L182">
        <v>1355</v>
      </c>
      <c r="N182">
        <v>1010</v>
      </c>
      <c r="O182" t="s">
        <v>419</v>
      </c>
      <c r="P182" t="s">
        <v>419</v>
      </c>
      <c r="Q182">
        <v>100</v>
      </c>
      <c r="W182">
        <v>0</v>
      </c>
      <c r="X182">
        <v>1508152775</v>
      </c>
      <c r="Y182">
        <v>12.15</v>
      </c>
      <c r="AA182">
        <v>189.49</v>
      </c>
      <c r="AB182">
        <v>0</v>
      </c>
      <c r="AC182">
        <v>0</v>
      </c>
      <c r="AD182">
        <v>0</v>
      </c>
      <c r="AE182">
        <v>64.260000000000005</v>
      </c>
      <c r="AF182">
        <v>0</v>
      </c>
      <c r="AG182">
        <v>0</v>
      </c>
      <c r="AH182">
        <v>0</v>
      </c>
      <c r="AI182">
        <v>2.94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3</v>
      </c>
      <c r="AT182">
        <v>12.15</v>
      </c>
      <c r="AU182" t="s">
        <v>3</v>
      </c>
      <c r="AV182">
        <v>0</v>
      </c>
      <c r="AW182">
        <v>2</v>
      </c>
      <c r="AX182">
        <v>44965769</v>
      </c>
      <c r="AY182">
        <v>1</v>
      </c>
      <c r="AZ182">
        <v>0</v>
      </c>
      <c r="BA182">
        <v>179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Y182*Source!I92</f>
        <v>2.1068099999999998</v>
      </c>
      <c r="CY182">
        <f t="shared" ref="CY182:CY190" si="30">AA182</f>
        <v>189.49</v>
      </c>
      <c r="CZ182">
        <f t="shared" ref="CZ182:CZ190" si="31">AE182</f>
        <v>64.260000000000005</v>
      </c>
      <c r="DA182">
        <f t="shared" ref="DA182:DA190" si="32">AI182</f>
        <v>2.94</v>
      </c>
      <c r="DB182">
        <f t="shared" ref="DB182:DB190" si="33">ROUND(ROUND(AT182*CZ182,2),6)</f>
        <v>780.76</v>
      </c>
      <c r="DC182">
        <f t="shared" ref="DC182:DC190" si="34">ROUND(ROUND(AT182*AG182,2),6)</f>
        <v>0</v>
      </c>
    </row>
    <row r="183" spans="1:107" x14ac:dyDescent="0.2">
      <c r="A183">
        <f>ROW(Source!A92)</f>
        <v>92</v>
      </c>
      <c r="B183">
        <v>44962055</v>
      </c>
      <c r="C183">
        <v>44965764</v>
      </c>
      <c r="D183">
        <v>30572991</v>
      </c>
      <c r="E183">
        <v>1</v>
      </c>
      <c r="F183">
        <v>1</v>
      </c>
      <c r="G183">
        <v>30515945</v>
      </c>
      <c r="H183">
        <v>3</v>
      </c>
      <c r="I183" t="s">
        <v>570</v>
      </c>
      <c r="J183" t="s">
        <v>571</v>
      </c>
      <c r="K183" t="s">
        <v>572</v>
      </c>
      <c r="L183">
        <v>1355</v>
      </c>
      <c r="N183">
        <v>1010</v>
      </c>
      <c r="O183" t="s">
        <v>419</v>
      </c>
      <c r="P183" t="s">
        <v>419</v>
      </c>
      <c r="Q183">
        <v>100</v>
      </c>
      <c r="W183">
        <v>0</v>
      </c>
      <c r="X183">
        <v>303713194</v>
      </c>
      <c r="Y183">
        <v>1.02</v>
      </c>
      <c r="AA183">
        <v>203.02</v>
      </c>
      <c r="AB183">
        <v>0</v>
      </c>
      <c r="AC183">
        <v>0</v>
      </c>
      <c r="AD183">
        <v>0</v>
      </c>
      <c r="AE183">
        <v>89.96</v>
      </c>
      <c r="AF183">
        <v>0</v>
      </c>
      <c r="AG183">
        <v>0</v>
      </c>
      <c r="AH183">
        <v>0</v>
      </c>
      <c r="AI183">
        <v>2.25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3</v>
      </c>
      <c r="AT183">
        <v>1.02</v>
      </c>
      <c r="AU183" t="s">
        <v>3</v>
      </c>
      <c r="AV183">
        <v>0</v>
      </c>
      <c r="AW183">
        <v>2</v>
      </c>
      <c r="AX183">
        <v>44965770</v>
      </c>
      <c r="AY183">
        <v>1</v>
      </c>
      <c r="AZ183">
        <v>0</v>
      </c>
      <c r="BA183">
        <v>180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Y183*Source!I92</f>
        <v>0.176868</v>
      </c>
      <c r="CY183">
        <f t="shared" si="30"/>
        <v>203.02</v>
      </c>
      <c r="CZ183">
        <f t="shared" si="31"/>
        <v>89.96</v>
      </c>
      <c r="DA183">
        <f t="shared" si="32"/>
        <v>2.25</v>
      </c>
      <c r="DB183">
        <f t="shared" si="33"/>
        <v>91.76</v>
      </c>
      <c r="DC183">
        <f t="shared" si="34"/>
        <v>0</v>
      </c>
    </row>
    <row r="184" spans="1:107" x14ac:dyDescent="0.2">
      <c r="A184">
        <f>ROW(Source!A92)</f>
        <v>92</v>
      </c>
      <c r="B184">
        <v>44962055</v>
      </c>
      <c r="C184">
        <v>44965764</v>
      </c>
      <c r="D184">
        <v>30572992</v>
      </c>
      <c r="E184">
        <v>1</v>
      </c>
      <c r="F184">
        <v>1</v>
      </c>
      <c r="G184">
        <v>30515945</v>
      </c>
      <c r="H184">
        <v>3</v>
      </c>
      <c r="I184" t="s">
        <v>573</v>
      </c>
      <c r="J184" t="s">
        <v>574</v>
      </c>
      <c r="K184" t="s">
        <v>575</v>
      </c>
      <c r="L184">
        <v>1355</v>
      </c>
      <c r="N184">
        <v>1010</v>
      </c>
      <c r="O184" t="s">
        <v>419</v>
      </c>
      <c r="P184" t="s">
        <v>419</v>
      </c>
      <c r="Q184">
        <v>100</v>
      </c>
      <c r="W184">
        <v>0</v>
      </c>
      <c r="X184">
        <v>-1884010399</v>
      </c>
      <c r="Y184">
        <v>12.15</v>
      </c>
      <c r="AA184">
        <v>496.28</v>
      </c>
      <c r="AB184">
        <v>0</v>
      </c>
      <c r="AC184">
        <v>0</v>
      </c>
      <c r="AD184">
        <v>0</v>
      </c>
      <c r="AE184">
        <v>247.4</v>
      </c>
      <c r="AF184">
        <v>0</v>
      </c>
      <c r="AG184">
        <v>0</v>
      </c>
      <c r="AH184">
        <v>0</v>
      </c>
      <c r="AI184">
        <v>2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S184" t="s">
        <v>3</v>
      </c>
      <c r="AT184">
        <v>12.15</v>
      </c>
      <c r="AU184" t="s">
        <v>3</v>
      </c>
      <c r="AV184">
        <v>0</v>
      </c>
      <c r="AW184">
        <v>2</v>
      </c>
      <c r="AX184">
        <v>44965771</v>
      </c>
      <c r="AY184">
        <v>1</v>
      </c>
      <c r="AZ184">
        <v>0</v>
      </c>
      <c r="BA184">
        <v>181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Y184*Source!I92</f>
        <v>2.1068099999999998</v>
      </c>
      <c r="CY184">
        <f t="shared" si="30"/>
        <v>496.28</v>
      </c>
      <c r="CZ184">
        <f t="shared" si="31"/>
        <v>247.4</v>
      </c>
      <c r="DA184">
        <f t="shared" si="32"/>
        <v>2</v>
      </c>
      <c r="DB184">
        <f t="shared" si="33"/>
        <v>3005.91</v>
      </c>
      <c r="DC184">
        <f t="shared" si="34"/>
        <v>0</v>
      </c>
    </row>
    <row r="185" spans="1:107" x14ac:dyDescent="0.2">
      <c r="A185">
        <f>ROW(Source!A92)</f>
        <v>92</v>
      </c>
      <c r="B185">
        <v>44962055</v>
      </c>
      <c r="C185">
        <v>44965764</v>
      </c>
      <c r="D185">
        <v>30592986</v>
      </c>
      <c r="E185">
        <v>1</v>
      </c>
      <c r="F185">
        <v>1</v>
      </c>
      <c r="G185">
        <v>30515945</v>
      </c>
      <c r="H185">
        <v>3</v>
      </c>
      <c r="I185" t="s">
        <v>576</v>
      </c>
      <c r="J185" t="s">
        <v>577</v>
      </c>
      <c r="K185" t="s">
        <v>578</v>
      </c>
      <c r="L185">
        <v>1327</v>
      </c>
      <c r="N185">
        <v>1005</v>
      </c>
      <c r="O185" t="s">
        <v>36</v>
      </c>
      <c r="P185" t="s">
        <v>36</v>
      </c>
      <c r="Q185">
        <v>1</v>
      </c>
      <c r="W185">
        <v>0</v>
      </c>
      <c r="X185">
        <v>-1612729582</v>
      </c>
      <c r="Y185">
        <v>26.7</v>
      </c>
      <c r="AA185">
        <v>1045.31</v>
      </c>
      <c r="AB185">
        <v>0</v>
      </c>
      <c r="AC185">
        <v>0</v>
      </c>
      <c r="AD185">
        <v>0</v>
      </c>
      <c r="AE185">
        <v>59.35</v>
      </c>
      <c r="AF185">
        <v>0</v>
      </c>
      <c r="AG185">
        <v>0</v>
      </c>
      <c r="AH185">
        <v>0</v>
      </c>
      <c r="AI185">
        <v>17.559999999999999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3</v>
      </c>
      <c r="AT185">
        <v>26.7</v>
      </c>
      <c r="AU185" t="s">
        <v>3</v>
      </c>
      <c r="AV185">
        <v>0</v>
      </c>
      <c r="AW185">
        <v>2</v>
      </c>
      <c r="AX185">
        <v>44965772</v>
      </c>
      <c r="AY185">
        <v>1</v>
      </c>
      <c r="AZ185">
        <v>0</v>
      </c>
      <c r="BA185">
        <v>182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Y185*Source!I92</f>
        <v>4.6297800000000002</v>
      </c>
      <c r="CY185">
        <f t="shared" si="30"/>
        <v>1045.31</v>
      </c>
      <c r="CZ185">
        <f t="shared" si="31"/>
        <v>59.35</v>
      </c>
      <c r="DA185">
        <f t="shared" si="32"/>
        <v>17.559999999999999</v>
      </c>
      <c r="DB185">
        <f t="shared" si="33"/>
        <v>1584.65</v>
      </c>
      <c r="DC185">
        <f t="shared" si="34"/>
        <v>0</v>
      </c>
    </row>
    <row r="186" spans="1:107" x14ac:dyDescent="0.2">
      <c r="A186">
        <f>ROW(Source!A92)</f>
        <v>92</v>
      </c>
      <c r="B186">
        <v>44962055</v>
      </c>
      <c r="C186">
        <v>44965764</v>
      </c>
      <c r="D186">
        <v>30592987</v>
      </c>
      <c r="E186">
        <v>1</v>
      </c>
      <c r="F186">
        <v>1</v>
      </c>
      <c r="G186">
        <v>30515945</v>
      </c>
      <c r="H186">
        <v>3</v>
      </c>
      <c r="I186" t="s">
        <v>579</v>
      </c>
      <c r="J186" t="s">
        <v>580</v>
      </c>
      <c r="K186" t="s">
        <v>581</v>
      </c>
      <c r="L186">
        <v>1327</v>
      </c>
      <c r="N186">
        <v>1005</v>
      </c>
      <c r="O186" t="s">
        <v>36</v>
      </c>
      <c r="P186" t="s">
        <v>36</v>
      </c>
      <c r="Q186">
        <v>1</v>
      </c>
      <c r="W186">
        <v>0</v>
      </c>
      <c r="X186">
        <v>-247443337</v>
      </c>
      <c r="Y186">
        <v>25.4</v>
      </c>
      <c r="AA186">
        <v>958.4</v>
      </c>
      <c r="AB186">
        <v>0</v>
      </c>
      <c r="AC186">
        <v>0</v>
      </c>
      <c r="AD186">
        <v>0</v>
      </c>
      <c r="AE186">
        <v>59.35</v>
      </c>
      <c r="AF186">
        <v>0</v>
      </c>
      <c r="AG186">
        <v>0</v>
      </c>
      <c r="AH186">
        <v>0</v>
      </c>
      <c r="AI186">
        <v>16.100000000000001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3</v>
      </c>
      <c r="AT186">
        <v>25.4</v>
      </c>
      <c r="AU186" t="s">
        <v>3</v>
      </c>
      <c r="AV186">
        <v>0</v>
      </c>
      <c r="AW186">
        <v>2</v>
      </c>
      <c r="AX186">
        <v>44965773</v>
      </c>
      <c r="AY186">
        <v>1</v>
      </c>
      <c r="AZ186">
        <v>0</v>
      </c>
      <c r="BA186">
        <v>183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Y186*Source!I92</f>
        <v>4.4043599999999996</v>
      </c>
      <c r="CY186">
        <f t="shared" si="30"/>
        <v>958.4</v>
      </c>
      <c r="CZ186">
        <f t="shared" si="31"/>
        <v>59.35</v>
      </c>
      <c r="DA186">
        <f t="shared" si="32"/>
        <v>16.100000000000001</v>
      </c>
      <c r="DB186">
        <f t="shared" si="33"/>
        <v>1507.49</v>
      </c>
      <c r="DC186">
        <f t="shared" si="34"/>
        <v>0</v>
      </c>
    </row>
    <row r="187" spans="1:107" x14ac:dyDescent="0.2">
      <c r="A187">
        <f>ROW(Source!A92)</f>
        <v>92</v>
      </c>
      <c r="B187">
        <v>44962055</v>
      </c>
      <c r="C187">
        <v>44965764</v>
      </c>
      <c r="D187">
        <v>30592995</v>
      </c>
      <c r="E187">
        <v>1</v>
      </c>
      <c r="F187">
        <v>1</v>
      </c>
      <c r="G187">
        <v>30515945</v>
      </c>
      <c r="H187">
        <v>3</v>
      </c>
      <c r="I187" t="s">
        <v>582</v>
      </c>
      <c r="J187" t="s">
        <v>583</v>
      </c>
      <c r="K187" t="s">
        <v>584</v>
      </c>
      <c r="L187">
        <v>1355</v>
      </c>
      <c r="N187">
        <v>1010</v>
      </c>
      <c r="O187" t="s">
        <v>419</v>
      </c>
      <c r="P187" t="s">
        <v>419</v>
      </c>
      <c r="Q187">
        <v>100</v>
      </c>
      <c r="W187">
        <v>0</v>
      </c>
      <c r="X187">
        <v>-773064344</v>
      </c>
      <c r="Y187">
        <v>4.5</v>
      </c>
      <c r="AA187">
        <v>651.26</v>
      </c>
      <c r="AB187">
        <v>0</v>
      </c>
      <c r="AC187">
        <v>0</v>
      </c>
      <c r="AD187">
        <v>0</v>
      </c>
      <c r="AE187">
        <v>228.63</v>
      </c>
      <c r="AF187">
        <v>0</v>
      </c>
      <c r="AG187">
        <v>0</v>
      </c>
      <c r="AH187">
        <v>0</v>
      </c>
      <c r="AI187">
        <v>2.84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3</v>
      </c>
      <c r="AT187">
        <v>4.5</v>
      </c>
      <c r="AU187" t="s">
        <v>3</v>
      </c>
      <c r="AV187">
        <v>0</v>
      </c>
      <c r="AW187">
        <v>2</v>
      </c>
      <c r="AX187">
        <v>44965774</v>
      </c>
      <c r="AY187">
        <v>1</v>
      </c>
      <c r="AZ187">
        <v>0</v>
      </c>
      <c r="BA187">
        <v>184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Y187*Source!I92</f>
        <v>0.78029999999999999</v>
      </c>
      <c r="CY187">
        <f t="shared" si="30"/>
        <v>651.26</v>
      </c>
      <c r="CZ187">
        <f t="shared" si="31"/>
        <v>228.63</v>
      </c>
      <c r="DA187">
        <f t="shared" si="32"/>
        <v>2.84</v>
      </c>
      <c r="DB187">
        <f t="shared" si="33"/>
        <v>1028.8399999999999</v>
      </c>
      <c r="DC187">
        <f t="shared" si="34"/>
        <v>0</v>
      </c>
    </row>
    <row r="188" spans="1:107" x14ac:dyDescent="0.2">
      <c r="A188">
        <f>ROW(Source!A92)</f>
        <v>92</v>
      </c>
      <c r="B188">
        <v>44962055</v>
      </c>
      <c r="C188">
        <v>44965764</v>
      </c>
      <c r="D188">
        <v>30592996</v>
      </c>
      <c r="E188">
        <v>1</v>
      </c>
      <c r="F188">
        <v>1</v>
      </c>
      <c r="G188">
        <v>30515945</v>
      </c>
      <c r="H188">
        <v>3</v>
      </c>
      <c r="I188" t="s">
        <v>585</v>
      </c>
      <c r="J188" t="s">
        <v>586</v>
      </c>
      <c r="K188" t="s">
        <v>587</v>
      </c>
      <c r="L188">
        <v>1301</v>
      </c>
      <c r="N188">
        <v>1003</v>
      </c>
      <c r="O188" t="s">
        <v>26</v>
      </c>
      <c r="P188" t="s">
        <v>26</v>
      </c>
      <c r="Q188">
        <v>1</v>
      </c>
      <c r="W188">
        <v>0</v>
      </c>
      <c r="X188">
        <v>985381407</v>
      </c>
      <c r="Y188">
        <v>140</v>
      </c>
      <c r="AA188">
        <v>105.74</v>
      </c>
      <c r="AB188">
        <v>0</v>
      </c>
      <c r="AC188">
        <v>0</v>
      </c>
      <c r="AD188">
        <v>0</v>
      </c>
      <c r="AE188">
        <v>38.9</v>
      </c>
      <c r="AF188">
        <v>0</v>
      </c>
      <c r="AG188">
        <v>0</v>
      </c>
      <c r="AH188">
        <v>0</v>
      </c>
      <c r="AI188">
        <v>2.71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3</v>
      </c>
      <c r="AT188">
        <v>140</v>
      </c>
      <c r="AU188" t="s">
        <v>3</v>
      </c>
      <c r="AV188">
        <v>0</v>
      </c>
      <c r="AW188">
        <v>2</v>
      </c>
      <c r="AX188">
        <v>44965775</v>
      </c>
      <c r="AY188">
        <v>1</v>
      </c>
      <c r="AZ188">
        <v>0</v>
      </c>
      <c r="BA188">
        <v>185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Y188*Source!I92</f>
        <v>24.276</v>
      </c>
      <c r="CY188">
        <f t="shared" si="30"/>
        <v>105.74</v>
      </c>
      <c r="CZ188">
        <f t="shared" si="31"/>
        <v>38.9</v>
      </c>
      <c r="DA188">
        <f t="shared" si="32"/>
        <v>2.71</v>
      </c>
      <c r="DB188">
        <f t="shared" si="33"/>
        <v>5446</v>
      </c>
      <c r="DC188">
        <f t="shared" si="34"/>
        <v>0</v>
      </c>
    </row>
    <row r="189" spans="1:107" x14ac:dyDescent="0.2">
      <c r="A189">
        <f>ROW(Source!A92)</f>
        <v>92</v>
      </c>
      <c r="B189">
        <v>44962055</v>
      </c>
      <c r="C189">
        <v>44965764</v>
      </c>
      <c r="D189">
        <v>41363246</v>
      </c>
      <c r="E189">
        <v>1</v>
      </c>
      <c r="F189">
        <v>1</v>
      </c>
      <c r="G189">
        <v>30515945</v>
      </c>
      <c r="H189">
        <v>3</v>
      </c>
      <c r="I189" t="s">
        <v>322</v>
      </c>
      <c r="J189" t="s">
        <v>324</v>
      </c>
      <c r="K189" t="s">
        <v>323</v>
      </c>
      <c r="L189">
        <v>1301</v>
      </c>
      <c r="N189">
        <v>1003</v>
      </c>
      <c r="O189" t="s">
        <v>26</v>
      </c>
      <c r="P189" t="s">
        <v>26</v>
      </c>
      <c r="Q189">
        <v>1</v>
      </c>
      <c r="W189">
        <v>0</v>
      </c>
      <c r="X189">
        <v>-1014055021</v>
      </c>
      <c r="Y189">
        <v>500</v>
      </c>
      <c r="AA189">
        <v>193.36</v>
      </c>
      <c r="AB189">
        <v>0</v>
      </c>
      <c r="AC189">
        <v>0</v>
      </c>
      <c r="AD189">
        <v>0</v>
      </c>
      <c r="AE189">
        <v>37.58</v>
      </c>
      <c r="AF189">
        <v>0</v>
      </c>
      <c r="AG189">
        <v>0</v>
      </c>
      <c r="AH189">
        <v>0</v>
      </c>
      <c r="AI189">
        <v>5.13</v>
      </c>
      <c r="AJ189">
        <v>1</v>
      </c>
      <c r="AK189">
        <v>1</v>
      </c>
      <c r="AL189">
        <v>1</v>
      </c>
      <c r="AN189">
        <v>0</v>
      </c>
      <c r="AO189">
        <v>0</v>
      </c>
      <c r="AP189">
        <v>0</v>
      </c>
      <c r="AQ189">
        <v>0</v>
      </c>
      <c r="AR189">
        <v>0</v>
      </c>
      <c r="AS189" t="s">
        <v>3</v>
      </c>
      <c r="AT189">
        <v>500</v>
      </c>
      <c r="AU189" t="s">
        <v>3</v>
      </c>
      <c r="AV189">
        <v>0</v>
      </c>
      <c r="AW189">
        <v>1</v>
      </c>
      <c r="AX189">
        <v>-1</v>
      </c>
      <c r="AY189">
        <v>0</v>
      </c>
      <c r="AZ189">
        <v>0</v>
      </c>
      <c r="BA189" t="s">
        <v>3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Y189*Source!I92</f>
        <v>86.7</v>
      </c>
      <c r="CY189">
        <f t="shared" si="30"/>
        <v>193.36</v>
      </c>
      <c r="CZ189">
        <f t="shared" si="31"/>
        <v>37.58</v>
      </c>
      <c r="DA189">
        <f t="shared" si="32"/>
        <v>5.13</v>
      </c>
      <c r="DB189">
        <f t="shared" si="33"/>
        <v>18790</v>
      </c>
      <c r="DC189">
        <f t="shared" si="34"/>
        <v>0</v>
      </c>
    </row>
    <row r="190" spans="1:107" x14ac:dyDescent="0.2">
      <c r="A190">
        <f>ROW(Source!A92)</f>
        <v>92</v>
      </c>
      <c r="B190">
        <v>44962055</v>
      </c>
      <c r="C190">
        <v>44965764</v>
      </c>
      <c r="D190">
        <v>30541208</v>
      </c>
      <c r="E190">
        <v>30515945</v>
      </c>
      <c r="F190">
        <v>1</v>
      </c>
      <c r="G190">
        <v>30515945</v>
      </c>
      <c r="H190">
        <v>3</v>
      </c>
      <c r="I190" t="s">
        <v>453</v>
      </c>
      <c r="J190" t="s">
        <v>3</v>
      </c>
      <c r="K190" t="s">
        <v>454</v>
      </c>
      <c r="L190">
        <v>1344</v>
      </c>
      <c r="N190">
        <v>1008</v>
      </c>
      <c r="O190" t="s">
        <v>440</v>
      </c>
      <c r="P190" t="s">
        <v>440</v>
      </c>
      <c r="Q190">
        <v>1</v>
      </c>
      <c r="W190">
        <v>0</v>
      </c>
      <c r="X190">
        <v>-94250534</v>
      </c>
      <c r="Y190">
        <v>265</v>
      </c>
      <c r="AA190">
        <v>1</v>
      </c>
      <c r="AB190">
        <v>0</v>
      </c>
      <c r="AC190">
        <v>0</v>
      </c>
      <c r="AD190">
        <v>0</v>
      </c>
      <c r="AE190">
        <v>1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3</v>
      </c>
      <c r="AT190">
        <v>265</v>
      </c>
      <c r="AU190" t="s">
        <v>3</v>
      </c>
      <c r="AV190">
        <v>0</v>
      </c>
      <c r="AW190">
        <v>2</v>
      </c>
      <c r="AX190">
        <v>44965777</v>
      </c>
      <c r="AY190">
        <v>1</v>
      </c>
      <c r="AZ190">
        <v>0</v>
      </c>
      <c r="BA190">
        <v>187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Y190*Source!I92</f>
        <v>45.951000000000001</v>
      </c>
      <c r="CY190">
        <f t="shared" si="30"/>
        <v>1</v>
      </c>
      <c r="CZ190">
        <f t="shared" si="31"/>
        <v>1</v>
      </c>
      <c r="DA190">
        <f t="shared" si="32"/>
        <v>1</v>
      </c>
      <c r="DB190">
        <f t="shared" si="33"/>
        <v>265</v>
      </c>
      <c r="DC190">
        <f t="shared" si="34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7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44962738</v>
      </c>
      <c r="C1">
        <v>44962737</v>
      </c>
      <c r="D1">
        <v>30515951</v>
      </c>
      <c r="E1">
        <v>30515945</v>
      </c>
      <c r="F1">
        <v>1</v>
      </c>
      <c r="G1">
        <v>30515945</v>
      </c>
      <c r="H1">
        <v>1</v>
      </c>
      <c r="I1" t="s">
        <v>388</v>
      </c>
      <c r="J1" t="s">
        <v>3</v>
      </c>
      <c r="K1" t="s">
        <v>389</v>
      </c>
      <c r="L1">
        <v>1191</v>
      </c>
      <c r="N1">
        <v>1013</v>
      </c>
      <c r="O1" t="s">
        <v>390</v>
      </c>
      <c r="P1" t="s">
        <v>390</v>
      </c>
      <c r="Q1">
        <v>1</v>
      </c>
      <c r="X1">
        <v>78.11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18</v>
      </c>
      <c r="AG1">
        <v>89.826499999999996</v>
      </c>
      <c r="AH1">
        <v>2</v>
      </c>
      <c r="AI1">
        <v>44962738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44962739</v>
      </c>
      <c r="C2">
        <v>44962737</v>
      </c>
      <c r="D2">
        <v>30596074</v>
      </c>
      <c r="E2">
        <v>1</v>
      </c>
      <c r="F2">
        <v>1</v>
      </c>
      <c r="G2">
        <v>30515945</v>
      </c>
      <c r="H2">
        <v>2</v>
      </c>
      <c r="I2" t="s">
        <v>391</v>
      </c>
      <c r="J2" t="s">
        <v>392</v>
      </c>
      <c r="K2" t="s">
        <v>393</v>
      </c>
      <c r="L2">
        <v>1367</v>
      </c>
      <c r="N2">
        <v>1011</v>
      </c>
      <c r="O2" t="s">
        <v>394</v>
      </c>
      <c r="P2" t="s">
        <v>394</v>
      </c>
      <c r="Q2">
        <v>1</v>
      </c>
      <c r="X2">
        <v>0.2</v>
      </c>
      <c r="Y2">
        <v>0</v>
      </c>
      <c r="Z2">
        <v>76.81</v>
      </c>
      <c r="AA2">
        <v>14.36</v>
      </c>
      <c r="AB2">
        <v>0</v>
      </c>
      <c r="AC2">
        <v>0</v>
      </c>
      <c r="AD2">
        <v>1</v>
      </c>
      <c r="AE2">
        <v>0</v>
      </c>
      <c r="AF2" t="s">
        <v>17</v>
      </c>
      <c r="AG2">
        <v>0.25</v>
      </c>
      <c r="AH2">
        <v>2</v>
      </c>
      <c r="AI2">
        <v>44962739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44962741</v>
      </c>
      <c r="C3">
        <v>44962737</v>
      </c>
      <c r="D3">
        <v>30596197</v>
      </c>
      <c r="E3">
        <v>1</v>
      </c>
      <c r="F3">
        <v>1</v>
      </c>
      <c r="G3">
        <v>30515945</v>
      </c>
      <c r="H3">
        <v>2</v>
      </c>
      <c r="I3" t="s">
        <v>395</v>
      </c>
      <c r="J3" t="s">
        <v>396</v>
      </c>
      <c r="K3" t="s">
        <v>397</v>
      </c>
      <c r="L3">
        <v>1367</v>
      </c>
      <c r="N3">
        <v>1011</v>
      </c>
      <c r="O3" t="s">
        <v>394</v>
      </c>
      <c r="P3" t="s">
        <v>394</v>
      </c>
      <c r="Q3">
        <v>1</v>
      </c>
      <c r="X3">
        <v>0.61</v>
      </c>
      <c r="Y3">
        <v>0</v>
      </c>
      <c r="Z3">
        <v>2.36</v>
      </c>
      <c r="AA3">
        <v>0.04</v>
      </c>
      <c r="AB3">
        <v>0</v>
      </c>
      <c r="AC3">
        <v>0</v>
      </c>
      <c r="AD3">
        <v>1</v>
      </c>
      <c r="AE3">
        <v>0</v>
      </c>
      <c r="AF3" t="s">
        <v>17</v>
      </c>
      <c r="AG3">
        <v>0.76249999999999996</v>
      </c>
      <c r="AH3">
        <v>2</v>
      </c>
      <c r="AI3">
        <v>44962741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44962742</v>
      </c>
      <c r="C4">
        <v>44962737</v>
      </c>
      <c r="D4">
        <v>30596132</v>
      </c>
      <c r="E4">
        <v>1</v>
      </c>
      <c r="F4">
        <v>1</v>
      </c>
      <c r="G4">
        <v>30515945</v>
      </c>
      <c r="H4">
        <v>2</v>
      </c>
      <c r="I4" t="s">
        <v>398</v>
      </c>
      <c r="J4" t="s">
        <v>399</v>
      </c>
      <c r="K4" t="s">
        <v>400</v>
      </c>
      <c r="L4">
        <v>1367</v>
      </c>
      <c r="N4">
        <v>1011</v>
      </c>
      <c r="O4" t="s">
        <v>394</v>
      </c>
      <c r="P4" t="s">
        <v>394</v>
      </c>
      <c r="Q4">
        <v>1</v>
      </c>
      <c r="X4">
        <v>0.14000000000000001</v>
      </c>
      <c r="Y4">
        <v>0</v>
      </c>
      <c r="Z4">
        <v>0.57999999999999996</v>
      </c>
      <c r="AA4">
        <v>0.04</v>
      </c>
      <c r="AB4">
        <v>0</v>
      </c>
      <c r="AC4">
        <v>0</v>
      </c>
      <c r="AD4">
        <v>1</v>
      </c>
      <c r="AE4">
        <v>0</v>
      </c>
      <c r="AF4" t="s">
        <v>17</v>
      </c>
      <c r="AG4">
        <v>0.17499999999999999</v>
      </c>
      <c r="AH4">
        <v>2</v>
      </c>
      <c r="AI4">
        <v>44962742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44962743</v>
      </c>
      <c r="C5">
        <v>44962737</v>
      </c>
      <c r="D5">
        <v>30596154</v>
      </c>
      <c r="E5">
        <v>1</v>
      </c>
      <c r="F5">
        <v>1</v>
      </c>
      <c r="G5">
        <v>30515945</v>
      </c>
      <c r="H5">
        <v>2</v>
      </c>
      <c r="I5" t="s">
        <v>401</v>
      </c>
      <c r="J5" t="s">
        <v>402</v>
      </c>
      <c r="K5" t="s">
        <v>403</v>
      </c>
      <c r="L5">
        <v>1367</v>
      </c>
      <c r="N5">
        <v>1011</v>
      </c>
      <c r="O5" t="s">
        <v>394</v>
      </c>
      <c r="P5" t="s">
        <v>394</v>
      </c>
      <c r="Q5">
        <v>1</v>
      </c>
      <c r="X5">
        <v>2</v>
      </c>
      <c r="Y5">
        <v>0</v>
      </c>
      <c r="Z5">
        <v>0.64</v>
      </c>
      <c r="AA5">
        <v>0.04</v>
      </c>
      <c r="AB5">
        <v>0</v>
      </c>
      <c r="AC5">
        <v>0</v>
      </c>
      <c r="AD5">
        <v>1</v>
      </c>
      <c r="AE5">
        <v>0</v>
      </c>
      <c r="AF5" t="s">
        <v>17</v>
      </c>
      <c r="AG5">
        <v>2.5</v>
      </c>
      <c r="AH5">
        <v>2</v>
      </c>
      <c r="AI5">
        <v>44962743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44962740</v>
      </c>
      <c r="C6">
        <v>44962737</v>
      </c>
      <c r="D6">
        <v>30595318</v>
      </c>
      <c r="E6">
        <v>1</v>
      </c>
      <c r="F6">
        <v>1</v>
      </c>
      <c r="G6">
        <v>30515945</v>
      </c>
      <c r="H6">
        <v>2</v>
      </c>
      <c r="I6" t="s">
        <v>404</v>
      </c>
      <c r="J6" t="s">
        <v>405</v>
      </c>
      <c r="K6" t="s">
        <v>406</v>
      </c>
      <c r="L6">
        <v>1367</v>
      </c>
      <c r="N6">
        <v>1011</v>
      </c>
      <c r="O6" t="s">
        <v>394</v>
      </c>
      <c r="P6" t="s">
        <v>394</v>
      </c>
      <c r="Q6">
        <v>1</v>
      </c>
      <c r="X6">
        <v>0.2</v>
      </c>
      <c r="Y6">
        <v>0</v>
      </c>
      <c r="Z6">
        <v>102.11</v>
      </c>
      <c r="AA6">
        <v>30.03</v>
      </c>
      <c r="AB6">
        <v>0</v>
      </c>
      <c r="AC6">
        <v>0</v>
      </c>
      <c r="AD6">
        <v>1</v>
      </c>
      <c r="AE6">
        <v>0</v>
      </c>
      <c r="AF6" t="s">
        <v>17</v>
      </c>
      <c r="AG6">
        <v>0.25</v>
      </c>
      <c r="AH6">
        <v>2</v>
      </c>
      <c r="AI6">
        <v>44962740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44962744</v>
      </c>
      <c r="C7">
        <v>44962737</v>
      </c>
      <c r="D7">
        <v>30573936</v>
      </c>
      <c r="E7">
        <v>1</v>
      </c>
      <c r="F7">
        <v>1</v>
      </c>
      <c r="G7">
        <v>30515945</v>
      </c>
      <c r="H7">
        <v>3</v>
      </c>
      <c r="I7" t="s">
        <v>407</v>
      </c>
      <c r="J7" t="s">
        <v>408</v>
      </c>
      <c r="K7" t="s">
        <v>409</v>
      </c>
      <c r="L7">
        <v>1346</v>
      </c>
      <c r="N7">
        <v>1009</v>
      </c>
      <c r="O7" t="s">
        <v>55</v>
      </c>
      <c r="P7" t="s">
        <v>55</v>
      </c>
      <c r="Q7">
        <v>1</v>
      </c>
      <c r="X7">
        <v>10</v>
      </c>
      <c r="Y7">
        <v>17.309999999999999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10</v>
      </c>
      <c r="AH7">
        <v>2</v>
      </c>
      <c r="AI7">
        <v>44962744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44962745</v>
      </c>
      <c r="C8">
        <v>44962737</v>
      </c>
      <c r="D8">
        <v>30574373</v>
      </c>
      <c r="E8">
        <v>1</v>
      </c>
      <c r="F8">
        <v>1</v>
      </c>
      <c r="G8">
        <v>30515945</v>
      </c>
      <c r="H8">
        <v>3</v>
      </c>
      <c r="I8" t="s">
        <v>410</v>
      </c>
      <c r="J8" t="s">
        <v>411</v>
      </c>
      <c r="K8" t="s">
        <v>412</v>
      </c>
      <c r="L8">
        <v>1354</v>
      </c>
      <c r="N8">
        <v>1010</v>
      </c>
      <c r="O8" t="s">
        <v>270</v>
      </c>
      <c r="P8" t="s">
        <v>270</v>
      </c>
      <c r="Q8">
        <v>1</v>
      </c>
      <c r="X8">
        <v>7</v>
      </c>
      <c r="Y8">
        <v>15.36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7</v>
      </c>
      <c r="AH8">
        <v>2</v>
      </c>
      <c r="AI8">
        <v>44962745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44962746</v>
      </c>
      <c r="C9">
        <v>44962737</v>
      </c>
      <c r="D9">
        <v>30574374</v>
      </c>
      <c r="E9">
        <v>1</v>
      </c>
      <c r="F9">
        <v>1</v>
      </c>
      <c r="G9">
        <v>30515945</v>
      </c>
      <c r="H9">
        <v>3</v>
      </c>
      <c r="I9" t="s">
        <v>39</v>
      </c>
      <c r="J9" t="s">
        <v>41</v>
      </c>
      <c r="K9" t="s">
        <v>40</v>
      </c>
      <c r="L9">
        <v>1301</v>
      </c>
      <c r="N9">
        <v>1003</v>
      </c>
      <c r="O9" t="s">
        <v>26</v>
      </c>
      <c r="P9" t="s">
        <v>26</v>
      </c>
      <c r="Q9">
        <v>1</v>
      </c>
      <c r="X9">
        <v>83</v>
      </c>
      <c r="Y9">
        <v>0.89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83</v>
      </c>
      <c r="AH9">
        <v>2</v>
      </c>
      <c r="AI9">
        <v>44962746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ROW(Source!A24)</f>
        <v>24</v>
      </c>
      <c r="B10">
        <v>44962747</v>
      </c>
      <c r="C10">
        <v>44962737</v>
      </c>
      <c r="D10">
        <v>30574375</v>
      </c>
      <c r="E10">
        <v>1</v>
      </c>
      <c r="F10">
        <v>1</v>
      </c>
      <c r="G10">
        <v>30515945</v>
      </c>
      <c r="H10">
        <v>3</v>
      </c>
      <c r="I10" t="s">
        <v>413</v>
      </c>
      <c r="J10" t="s">
        <v>414</v>
      </c>
      <c r="K10" t="s">
        <v>415</v>
      </c>
      <c r="L10">
        <v>1301</v>
      </c>
      <c r="N10">
        <v>1003</v>
      </c>
      <c r="O10" t="s">
        <v>26</v>
      </c>
      <c r="P10" t="s">
        <v>26</v>
      </c>
      <c r="Q10">
        <v>1</v>
      </c>
      <c r="X10">
        <v>82</v>
      </c>
      <c r="Y10">
        <v>1.62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82</v>
      </c>
      <c r="AH10">
        <v>2</v>
      </c>
      <c r="AI10">
        <v>44962747</v>
      </c>
      <c r="AJ10">
        <v>11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ROW(Source!A24)</f>
        <v>24</v>
      </c>
      <c r="B11">
        <v>44962748</v>
      </c>
      <c r="C11">
        <v>44962737</v>
      </c>
      <c r="D11">
        <v>30574380</v>
      </c>
      <c r="E11">
        <v>1</v>
      </c>
      <c r="F11">
        <v>1</v>
      </c>
      <c r="G11">
        <v>30515945</v>
      </c>
      <c r="H11">
        <v>3</v>
      </c>
      <c r="I11" t="s">
        <v>416</v>
      </c>
      <c r="J11" t="s">
        <v>417</v>
      </c>
      <c r="K11" t="s">
        <v>418</v>
      </c>
      <c r="L11">
        <v>1355</v>
      </c>
      <c r="N11">
        <v>1010</v>
      </c>
      <c r="O11" t="s">
        <v>419</v>
      </c>
      <c r="P11" t="s">
        <v>419</v>
      </c>
      <c r="Q11">
        <v>100</v>
      </c>
      <c r="X11">
        <v>18.55</v>
      </c>
      <c r="Y11">
        <v>4.2699999999999996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18.55</v>
      </c>
      <c r="AH11">
        <v>2</v>
      </c>
      <c r="AI11">
        <v>44962748</v>
      </c>
      <c r="AJ11">
        <v>13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ROW(Source!A24)</f>
        <v>24</v>
      </c>
      <c r="B12">
        <v>44962749</v>
      </c>
      <c r="C12">
        <v>44962737</v>
      </c>
      <c r="D12">
        <v>30574383</v>
      </c>
      <c r="E12">
        <v>1</v>
      </c>
      <c r="F12">
        <v>1</v>
      </c>
      <c r="G12">
        <v>30515945</v>
      </c>
      <c r="H12">
        <v>3</v>
      </c>
      <c r="I12" t="s">
        <v>420</v>
      </c>
      <c r="J12" t="s">
        <v>421</v>
      </c>
      <c r="K12" t="s">
        <v>422</v>
      </c>
      <c r="L12">
        <v>1355</v>
      </c>
      <c r="N12">
        <v>1010</v>
      </c>
      <c r="O12" t="s">
        <v>419</v>
      </c>
      <c r="P12" t="s">
        <v>419</v>
      </c>
      <c r="Q12">
        <v>100</v>
      </c>
      <c r="X12">
        <v>1.53</v>
      </c>
      <c r="Y12">
        <v>43.81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1.53</v>
      </c>
      <c r="AH12">
        <v>2</v>
      </c>
      <c r="AI12">
        <v>44962749</v>
      </c>
      <c r="AJ12">
        <v>14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ROW(Source!A24)</f>
        <v>24</v>
      </c>
      <c r="B13">
        <v>44962750</v>
      </c>
      <c r="C13">
        <v>44962737</v>
      </c>
      <c r="D13">
        <v>30589848</v>
      </c>
      <c r="E13">
        <v>1</v>
      </c>
      <c r="F13">
        <v>1</v>
      </c>
      <c r="G13">
        <v>30515945</v>
      </c>
      <c r="H13">
        <v>3</v>
      </c>
      <c r="I13" t="s">
        <v>423</v>
      </c>
      <c r="J13" t="s">
        <v>424</v>
      </c>
      <c r="K13" t="s">
        <v>425</v>
      </c>
      <c r="L13">
        <v>1346</v>
      </c>
      <c r="N13">
        <v>1009</v>
      </c>
      <c r="O13" t="s">
        <v>55</v>
      </c>
      <c r="P13" t="s">
        <v>55</v>
      </c>
      <c r="Q13">
        <v>1</v>
      </c>
      <c r="X13">
        <v>4</v>
      </c>
      <c r="Y13">
        <v>14.88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4</v>
      </c>
      <c r="AH13">
        <v>2</v>
      </c>
      <c r="AI13">
        <v>44962750</v>
      </c>
      <c r="AJ13">
        <v>16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ROW(Source!A24)</f>
        <v>24</v>
      </c>
      <c r="B14">
        <v>44962751</v>
      </c>
      <c r="C14">
        <v>44962737</v>
      </c>
      <c r="D14">
        <v>30589849</v>
      </c>
      <c r="E14">
        <v>1</v>
      </c>
      <c r="F14">
        <v>1</v>
      </c>
      <c r="G14">
        <v>30515945</v>
      </c>
      <c r="H14">
        <v>3</v>
      </c>
      <c r="I14" t="s">
        <v>426</v>
      </c>
      <c r="J14" t="s">
        <v>427</v>
      </c>
      <c r="K14" t="s">
        <v>428</v>
      </c>
      <c r="L14">
        <v>1346</v>
      </c>
      <c r="N14">
        <v>1009</v>
      </c>
      <c r="O14" t="s">
        <v>55</v>
      </c>
      <c r="P14" t="s">
        <v>55</v>
      </c>
      <c r="Q14">
        <v>1</v>
      </c>
      <c r="X14">
        <v>60</v>
      </c>
      <c r="Y14">
        <v>4.55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60</v>
      </c>
      <c r="AH14">
        <v>2</v>
      </c>
      <c r="AI14">
        <v>44962751</v>
      </c>
      <c r="AJ14">
        <v>17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ROW(Source!A24)</f>
        <v>24</v>
      </c>
      <c r="B15">
        <v>44962752</v>
      </c>
      <c r="C15">
        <v>44962737</v>
      </c>
      <c r="D15">
        <v>30589734</v>
      </c>
      <c r="E15">
        <v>1</v>
      </c>
      <c r="F15">
        <v>1</v>
      </c>
      <c r="G15">
        <v>30515945</v>
      </c>
      <c r="H15">
        <v>3</v>
      </c>
      <c r="I15" t="s">
        <v>429</v>
      </c>
      <c r="J15" t="s">
        <v>430</v>
      </c>
      <c r="K15" t="s">
        <v>431</v>
      </c>
      <c r="L15">
        <v>1346</v>
      </c>
      <c r="N15">
        <v>1009</v>
      </c>
      <c r="O15" t="s">
        <v>55</v>
      </c>
      <c r="P15" t="s">
        <v>55</v>
      </c>
      <c r="Q15">
        <v>1</v>
      </c>
      <c r="X15">
        <v>37</v>
      </c>
      <c r="Y15">
        <v>5.19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37</v>
      </c>
      <c r="AH15">
        <v>2</v>
      </c>
      <c r="AI15">
        <v>44962752</v>
      </c>
      <c r="AJ15">
        <v>18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ROW(Source!A24)</f>
        <v>24</v>
      </c>
      <c r="B16">
        <v>44962753</v>
      </c>
      <c r="C16">
        <v>44962737</v>
      </c>
      <c r="D16">
        <v>30593477</v>
      </c>
      <c r="E16">
        <v>1</v>
      </c>
      <c r="F16">
        <v>1</v>
      </c>
      <c r="G16">
        <v>30515945</v>
      </c>
      <c r="H16">
        <v>3</v>
      </c>
      <c r="I16" t="s">
        <v>432</v>
      </c>
      <c r="J16" t="s">
        <v>433</v>
      </c>
      <c r="K16" t="s">
        <v>434</v>
      </c>
      <c r="L16">
        <v>1348</v>
      </c>
      <c r="N16">
        <v>1009</v>
      </c>
      <c r="O16" t="s">
        <v>77</v>
      </c>
      <c r="P16" t="s">
        <v>77</v>
      </c>
      <c r="Q16">
        <v>1000</v>
      </c>
      <c r="X16">
        <v>1.1039999999999999E-2</v>
      </c>
      <c r="Y16">
        <v>60883.49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1.1039999999999999E-2</v>
      </c>
      <c r="AH16">
        <v>2</v>
      </c>
      <c r="AI16">
        <v>44962753</v>
      </c>
      <c r="AJ16">
        <v>19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ROW(Source!A24)</f>
        <v>24</v>
      </c>
      <c r="B17">
        <v>44962754</v>
      </c>
      <c r="C17">
        <v>44962737</v>
      </c>
      <c r="D17">
        <v>30534135</v>
      </c>
      <c r="E17">
        <v>30515945</v>
      </c>
      <c r="F17">
        <v>1</v>
      </c>
      <c r="G17">
        <v>30515945</v>
      </c>
      <c r="H17">
        <v>3</v>
      </c>
      <c r="I17" t="s">
        <v>242</v>
      </c>
      <c r="J17" t="s">
        <v>3</v>
      </c>
      <c r="K17" t="s">
        <v>243</v>
      </c>
      <c r="L17">
        <v>1301</v>
      </c>
      <c r="N17">
        <v>1003</v>
      </c>
      <c r="O17" t="s">
        <v>26</v>
      </c>
      <c r="P17" t="s">
        <v>26</v>
      </c>
      <c r="Q17">
        <v>1</v>
      </c>
      <c r="X17">
        <v>116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 t="s">
        <v>3</v>
      </c>
      <c r="AG17">
        <v>116</v>
      </c>
      <c r="AH17">
        <v>3</v>
      </c>
      <c r="AI17">
        <v>-1</v>
      </c>
      <c r="AJ17" t="s">
        <v>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ROW(Source!A24)</f>
        <v>24</v>
      </c>
      <c r="B18">
        <v>44962755</v>
      </c>
      <c r="C18">
        <v>44962737</v>
      </c>
      <c r="D18">
        <v>30531672</v>
      </c>
      <c r="E18">
        <v>30515945</v>
      </c>
      <c r="F18">
        <v>1</v>
      </c>
      <c r="G18">
        <v>30515945</v>
      </c>
      <c r="H18">
        <v>3</v>
      </c>
      <c r="I18" t="s">
        <v>588</v>
      </c>
      <c r="J18" t="s">
        <v>3</v>
      </c>
      <c r="K18" t="s">
        <v>589</v>
      </c>
      <c r="L18">
        <v>1301</v>
      </c>
      <c r="N18">
        <v>1003</v>
      </c>
      <c r="O18" t="s">
        <v>26</v>
      </c>
      <c r="P18" t="s">
        <v>26</v>
      </c>
      <c r="Q18">
        <v>1</v>
      </c>
      <c r="X18">
        <v>121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 t="s">
        <v>3</v>
      </c>
      <c r="AG18">
        <v>121</v>
      </c>
      <c r="AH18">
        <v>3</v>
      </c>
      <c r="AI18">
        <v>-1</v>
      </c>
      <c r="AJ18" t="s">
        <v>3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ROW(Source!A24)</f>
        <v>24</v>
      </c>
      <c r="B19">
        <v>44962756</v>
      </c>
      <c r="C19">
        <v>44962737</v>
      </c>
      <c r="D19">
        <v>30533653</v>
      </c>
      <c r="E19">
        <v>30515945</v>
      </c>
      <c r="F19">
        <v>1</v>
      </c>
      <c r="G19">
        <v>30515945</v>
      </c>
      <c r="H19">
        <v>3</v>
      </c>
      <c r="I19" t="s">
        <v>588</v>
      </c>
      <c r="J19" t="s">
        <v>3</v>
      </c>
      <c r="K19" t="s">
        <v>590</v>
      </c>
      <c r="L19">
        <v>1301</v>
      </c>
      <c r="N19">
        <v>1003</v>
      </c>
      <c r="O19" t="s">
        <v>26</v>
      </c>
      <c r="P19" t="s">
        <v>26</v>
      </c>
      <c r="Q19">
        <v>1</v>
      </c>
      <c r="X19">
        <v>225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225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ROW(Source!A24)</f>
        <v>24</v>
      </c>
      <c r="B20">
        <v>44962757</v>
      </c>
      <c r="C20">
        <v>44962737</v>
      </c>
      <c r="D20">
        <v>30531666</v>
      </c>
      <c r="E20">
        <v>30515945</v>
      </c>
      <c r="F20">
        <v>1</v>
      </c>
      <c r="G20">
        <v>30515945</v>
      </c>
      <c r="H20">
        <v>3</v>
      </c>
      <c r="I20" t="s">
        <v>591</v>
      </c>
      <c r="J20" t="s">
        <v>3</v>
      </c>
      <c r="K20" t="s">
        <v>592</v>
      </c>
      <c r="L20">
        <v>1327</v>
      </c>
      <c r="N20">
        <v>1005</v>
      </c>
      <c r="O20" t="s">
        <v>36</v>
      </c>
      <c r="P20" t="s">
        <v>36</v>
      </c>
      <c r="Q20">
        <v>1</v>
      </c>
      <c r="X20">
        <v>107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 t="s">
        <v>3</v>
      </c>
      <c r="AG20">
        <v>107</v>
      </c>
      <c r="AH20">
        <v>3</v>
      </c>
      <c r="AI20">
        <v>-1</v>
      </c>
      <c r="AJ20" t="s">
        <v>3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ROW(Source!A30)</f>
        <v>30</v>
      </c>
      <c r="B21">
        <v>44962991</v>
      </c>
      <c r="C21">
        <v>44962990</v>
      </c>
      <c r="D21">
        <v>30515951</v>
      </c>
      <c r="E21">
        <v>30515945</v>
      </c>
      <c r="F21">
        <v>1</v>
      </c>
      <c r="G21">
        <v>30515945</v>
      </c>
      <c r="H21">
        <v>1</v>
      </c>
      <c r="I21" t="s">
        <v>388</v>
      </c>
      <c r="J21" t="s">
        <v>3</v>
      </c>
      <c r="K21" t="s">
        <v>389</v>
      </c>
      <c r="L21">
        <v>1191</v>
      </c>
      <c r="N21">
        <v>1013</v>
      </c>
      <c r="O21" t="s">
        <v>390</v>
      </c>
      <c r="P21" t="s">
        <v>390</v>
      </c>
      <c r="Q21">
        <v>1</v>
      </c>
      <c r="X21">
        <v>23.72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F21" t="s">
        <v>18</v>
      </c>
      <c r="AG21">
        <v>27.277999999999999</v>
      </c>
      <c r="AH21">
        <v>2</v>
      </c>
      <c r="AI21">
        <v>44962991</v>
      </c>
      <c r="AJ21">
        <v>22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ROW(Source!A30)</f>
        <v>30</v>
      </c>
      <c r="B22">
        <v>44962992</v>
      </c>
      <c r="C22">
        <v>44962990</v>
      </c>
      <c r="D22">
        <v>30596074</v>
      </c>
      <c r="E22">
        <v>1</v>
      </c>
      <c r="F22">
        <v>1</v>
      </c>
      <c r="G22">
        <v>30515945</v>
      </c>
      <c r="H22">
        <v>2</v>
      </c>
      <c r="I22" t="s">
        <v>391</v>
      </c>
      <c r="J22" t="s">
        <v>392</v>
      </c>
      <c r="K22" t="s">
        <v>393</v>
      </c>
      <c r="L22">
        <v>1367</v>
      </c>
      <c r="N22">
        <v>1011</v>
      </c>
      <c r="O22" t="s">
        <v>394</v>
      </c>
      <c r="P22" t="s">
        <v>394</v>
      </c>
      <c r="Q22">
        <v>1</v>
      </c>
      <c r="X22">
        <v>0.02</v>
      </c>
      <c r="Y22">
        <v>0</v>
      </c>
      <c r="Z22">
        <v>76.81</v>
      </c>
      <c r="AA22">
        <v>14.36</v>
      </c>
      <c r="AB22">
        <v>0</v>
      </c>
      <c r="AC22">
        <v>0</v>
      </c>
      <c r="AD22">
        <v>1</v>
      </c>
      <c r="AE22">
        <v>0</v>
      </c>
      <c r="AF22" t="s">
        <v>17</v>
      </c>
      <c r="AG22">
        <v>2.5000000000000001E-2</v>
      </c>
      <c r="AH22">
        <v>2</v>
      </c>
      <c r="AI22">
        <v>44962992</v>
      </c>
      <c r="AJ22">
        <v>23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ROW(Source!A30)</f>
        <v>30</v>
      </c>
      <c r="B23">
        <v>44962993</v>
      </c>
      <c r="C23">
        <v>44962990</v>
      </c>
      <c r="D23">
        <v>30596185</v>
      </c>
      <c r="E23">
        <v>1</v>
      </c>
      <c r="F23">
        <v>1</v>
      </c>
      <c r="G23">
        <v>30515945</v>
      </c>
      <c r="H23">
        <v>2</v>
      </c>
      <c r="I23" t="s">
        <v>435</v>
      </c>
      <c r="J23" t="s">
        <v>436</v>
      </c>
      <c r="K23" t="s">
        <v>437</v>
      </c>
      <c r="L23">
        <v>1367</v>
      </c>
      <c r="N23">
        <v>1011</v>
      </c>
      <c r="O23" t="s">
        <v>394</v>
      </c>
      <c r="P23" t="s">
        <v>394</v>
      </c>
      <c r="Q23">
        <v>1</v>
      </c>
      <c r="X23">
        <v>2.5499999999999998</v>
      </c>
      <c r="Y23">
        <v>0</v>
      </c>
      <c r="Z23">
        <v>1.76</v>
      </c>
      <c r="AA23">
        <v>0.01</v>
      </c>
      <c r="AB23">
        <v>0</v>
      </c>
      <c r="AC23">
        <v>0</v>
      </c>
      <c r="AD23">
        <v>1</v>
      </c>
      <c r="AE23">
        <v>0</v>
      </c>
      <c r="AF23" t="s">
        <v>17</v>
      </c>
      <c r="AG23">
        <v>3.1875</v>
      </c>
      <c r="AH23">
        <v>2</v>
      </c>
      <c r="AI23">
        <v>44962993</v>
      </c>
      <c r="AJ23">
        <v>24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ROW(Source!A30)</f>
        <v>30</v>
      </c>
      <c r="B24">
        <v>44962994</v>
      </c>
      <c r="C24">
        <v>44962990</v>
      </c>
      <c r="D24">
        <v>30516999</v>
      </c>
      <c r="E24">
        <v>30515945</v>
      </c>
      <c r="F24">
        <v>1</v>
      </c>
      <c r="G24">
        <v>30515945</v>
      </c>
      <c r="H24">
        <v>2</v>
      </c>
      <c r="I24" t="s">
        <v>438</v>
      </c>
      <c r="J24" t="s">
        <v>3</v>
      </c>
      <c r="K24" t="s">
        <v>439</v>
      </c>
      <c r="L24">
        <v>1344</v>
      </c>
      <c r="N24">
        <v>1008</v>
      </c>
      <c r="O24" t="s">
        <v>440</v>
      </c>
      <c r="P24" t="s">
        <v>440</v>
      </c>
      <c r="Q24">
        <v>1</v>
      </c>
      <c r="X24">
        <v>0.01</v>
      </c>
      <c r="Y24">
        <v>0</v>
      </c>
      <c r="Z24">
        <v>1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17</v>
      </c>
      <c r="AG24">
        <v>1.2500000000000001E-2</v>
      </c>
      <c r="AH24">
        <v>2</v>
      </c>
      <c r="AI24">
        <v>44962994</v>
      </c>
      <c r="AJ24">
        <v>25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ROW(Source!A30)</f>
        <v>30</v>
      </c>
      <c r="B25">
        <v>44962995</v>
      </c>
      <c r="C25">
        <v>44962990</v>
      </c>
      <c r="D25">
        <v>30571181</v>
      </c>
      <c r="E25">
        <v>1</v>
      </c>
      <c r="F25">
        <v>1</v>
      </c>
      <c r="G25">
        <v>30515945</v>
      </c>
      <c r="H25">
        <v>3</v>
      </c>
      <c r="I25" t="s">
        <v>441</v>
      </c>
      <c r="J25" t="s">
        <v>442</v>
      </c>
      <c r="K25" t="s">
        <v>443</v>
      </c>
      <c r="L25">
        <v>1339</v>
      </c>
      <c r="N25">
        <v>1007</v>
      </c>
      <c r="O25" t="s">
        <v>140</v>
      </c>
      <c r="P25" t="s">
        <v>140</v>
      </c>
      <c r="Q25">
        <v>1</v>
      </c>
      <c r="X25">
        <v>6.0999999999999999E-2</v>
      </c>
      <c r="Y25">
        <v>7.07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6.0999999999999999E-2</v>
      </c>
      <c r="AH25">
        <v>2</v>
      </c>
      <c r="AI25">
        <v>44962995</v>
      </c>
      <c r="AJ25">
        <v>26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44962996</v>
      </c>
      <c r="C26">
        <v>44962990</v>
      </c>
      <c r="D26">
        <v>30572394</v>
      </c>
      <c r="E26">
        <v>1</v>
      </c>
      <c r="F26">
        <v>1</v>
      </c>
      <c r="G26">
        <v>30515945</v>
      </c>
      <c r="H26">
        <v>3</v>
      </c>
      <c r="I26" t="s">
        <v>444</v>
      </c>
      <c r="J26" t="s">
        <v>445</v>
      </c>
      <c r="K26" t="s">
        <v>446</v>
      </c>
      <c r="L26">
        <v>1327</v>
      </c>
      <c r="N26">
        <v>1005</v>
      </c>
      <c r="O26" t="s">
        <v>36</v>
      </c>
      <c r="P26" t="s">
        <v>36</v>
      </c>
      <c r="Q26">
        <v>1</v>
      </c>
      <c r="X26">
        <v>1.21</v>
      </c>
      <c r="Y26">
        <v>104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1.21</v>
      </c>
      <c r="AH26">
        <v>2</v>
      </c>
      <c r="AI26">
        <v>44962996</v>
      </c>
      <c r="AJ26">
        <v>27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44962997</v>
      </c>
      <c r="C27">
        <v>44962990</v>
      </c>
      <c r="D27">
        <v>30572628</v>
      </c>
      <c r="E27">
        <v>1</v>
      </c>
      <c r="F27">
        <v>1</v>
      </c>
      <c r="G27">
        <v>30515945</v>
      </c>
      <c r="H27">
        <v>3</v>
      </c>
      <c r="I27" t="s">
        <v>447</v>
      </c>
      <c r="J27" t="s">
        <v>448</v>
      </c>
      <c r="K27" t="s">
        <v>449</v>
      </c>
      <c r="L27">
        <v>1327</v>
      </c>
      <c r="N27">
        <v>1005</v>
      </c>
      <c r="O27" t="s">
        <v>36</v>
      </c>
      <c r="P27" t="s">
        <v>36</v>
      </c>
      <c r="Q27">
        <v>1</v>
      </c>
      <c r="X27">
        <v>8.6199999999999992</v>
      </c>
      <c r="Y27">
        <v>10.53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8.6199999999999992</v>
      </c>
      <c r="AH27">
        <v>2</v>
      </c>
      <c r="AI27">
        <v>44962997</v>
      </c>
      <c r="AJ27">
        <v>28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44962998</v>
      </c>
      <c r="C28">
        <v>44962990</v>
      </c>
      <c r="D28">
        <v>30593478</v>
      </c>
      <c r="E28">
        <v>1</v>
      </c>
      <c r="F28">
        <v>1</v>
      </c>
      <c r="G28">
        <v>30515945</v>
      </c>
      <c r="H28">
        <v>3</v>
      </c>
      <c r="I28" t="s">
        <v>49</v>
      </c>
      <c r="J28" t="s">
        <v>51</v>
      </c>
      <c r="K28" t="s">
        <v>50</v>
      </c>
      <c r="L28">
        <v>1301</v>
      </c>
      <c r="N28">
        <v>1003</v>
      </c>
      <c r="O28" t="s">
        <v>26</v>
      </c>
      <c r="P28" t="s">
        <v>26</v>
      </c>
      <c r="Q28">
        <v>1</v>
      </c>
      <c r="X28">
        <v>10.199999999999999</v>
      </c>
      <c r="Y28">
        <v>4.5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10.199999999999999</v>
      </c>
      <c r="AH28">
        <v>2</v>
      </c>
      <c r="AI28">
        <v>44962998</v>
      </c>
      <c r="AJ28">
        <v>30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ROW(Source!A30)</f>
        <v>30</v>
      </c>
      <c r="B29">
        <v>44962999</v>
      </c>
      <c r="C29">
        <v>44962990</v>
      </c>
      <c r="D29">
        <v>30535140</v>
      </c>
      <c r="E29">
        <v>30515945</v>
      </c>
      <c r="F29">
        <v>1</v>
      </c>
      <c r="G29">
        <v>30515945</v>
      </c>
      <c r="H29">
        <v>3</v>
      </c>
      <c r="I29" t="s">
        <v>593</v>
      </c>
      <c r="J29" t="s">
        <v>3</v>
      </c>
      <c r="K29" t="s">
        <v>594</v>
      </c>
      <c r="L29">
        <v>1346</v>
      </c>
      <c r="N29">
        <v>1009</v>
      </c>
      <c r="O29" t="s">
        <v>55</v>
      </c>
      <c r="P29" t="s">
        <v>55</v>
      </c>
      <c r="Q29">
        <v>1</v>
      </c>
      <c r="X29">
        <v>77.900000000000006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 t="s">
        <v>3</v>
      </c>
      <c r="AG29">
        <v>77.900000000000006</v>
      </c>
      <c r="AH29">
        <v>3</v>
      </c>
      <c r="AI29">
        <v>-1</v>
      </c>
      <c r="AJ29" t="s">
        <v>3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ROW(Source!A33)</f>
        <v>33</v>
      </c>
      <c r="B30">
        <v>44963043</v>
      </c>
      <c r="C30">
        <v>44963038</v>
      </c>
      <c r="D30">
        <v>30515951</v>
      </c>
      <c r="E30">
        <v>30515945</v>
      </c>
      <c r="F30">
        <v>1</v>
      </c>
      <c r="G30">
        <v>30515945</v>
      </c>
      <c r="H30">
        <v>1</v>
      </c>
      <c r="I30" t="s">
        <v>388</v>
      </c>
      <c r="J30" t="s">
        <v>3</v>
      </c>
      <c r="K30" t="s">
        <v>389</v>
      </c>
      <c r="L30">
        <v>1191</v>
      </c>
      <c r="N30">
        <v>1013</v>
      </c>
      <c r="O30" t="s">
        <v>390</v>
      </c>
      <c r="P30" t="s">
        <v>390</v>
      </c>
      <c r="Q30">
        <v>1</v>
      </c>
      <c r="X30">
        <v>4.6500000000000004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1</v>
      </c>
      <c r="AF30" t="s">
        <v>18</v>
      </c>
      <c r="AG30">
        <v>5.3475000000000001</v>
      </c>
      <c r="AH30">
        <v>2</v>
      </c>
      <c r="AI30">
        <v>44963039</v>
      </c>
      <c r="AJ30">
        <v>32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ROW(Source!A33)</f>
        <v>33</v>
      </c>
      <c r="B31">
        <v>44963044</v>
      </c>
      <c r="C31">
        <v>44963038</v>
      </c>
      <c r="D31">
        <v>30596074</v>
      </c>
      <c r="E31">
        <v>1</v>
      </c>
      <c r="F31">
        <v>1</v>
      </c>
      <c r="G31">
        <v>30515945</v>
      </c>
      <c r="H31">
        <v>2</v>
      </c>
      <c r="I31" t="s">
        <v>391</v>
      </c>
      <c r="J31" t="s">
        <v>392</v>
      </c>
      <c r="K31" t="s">
        <v>393</v>
      </c>
      <c r="L31">
        <v>1367</v>
      </c>
      <c r="N31">
        <v>1011</v>
      </c>
      <c r="O31" t="s">
        <v>394</v>
      </c>
      <c r="P31" t="s">
        <v>394</v>
      </c>
      <c r="Q31">
        <v>1</v>
      </c>
      <c r="X31">
        <v>0.01</v>
      </c>
      <c r="Y31">
        <v>0</v>
      </c>
      <c r="Z31">
        <v>76.81</v>
      </c>
      <c r="AA31">
        <v>14.36</v>
      </c>
      <c r="AB31">
        <v>0</v>
      </c>
      <c r="AC31">
        <v>0</v>
      </c>
      <c r="AD31">
        <v>1</v>
      </c>
      <c r="AE31">
        <v>0</v>
      </c>
      <c r="AF31" t="s">
        <v>17</v>
      </c>
      <c r="AG31">
        <v>1.2500000000000001E-2</v>
      </c>
      <c r="AH31">
        <v>2</v>
      </c>
      <c r="AI31">
        <v>44963040</v>
      </c>
      <c r="AJ31">
        <v>33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ROW(Source!A33)</f>
        <v>33</v>
      </c>
      <c r="B32">
        <v>44963045</v>
      </c>
      <c r="C32">
        <v>44963038</v>
      </c>
      <c r="D32">
        <v>30596185</v>
      </c>
      <c r="E32">
        <v>1</v>
      </c>
      <c r="F32">
        <v>1</v>
      </c>
      <c r="G32">
        <v>30515945</v>
      </c>
      <c r="H32">
        <v>2</v>
      </c>
      <c r="I32" t="s">
        <v>435</v>
      </c>
      <c r="J32" t="s">
        <v>436</v>
      </c>
      <c r="K32" t="s">
        <v>437</v>
      </c>
      <c r="L32">
        <v>1367</v>
      </c>
      <c r="N32">
        <v>1011</v>
      </c>
      <c r="O32" t="s">
        <v>394</v>
      </c>
      <c r="P32" t="s">
        <v>394</v>
      </c>
      <c r="Q32">
        <v>1</v>
      </c>
      <c r="X32">
        <v>0.03</v>
      </c>
      <c r="Y32">
        <v>0</v>
      </c>
      <c r="Z32">
        <v>1.76</v>
      </c>
      <c r="AA32">
        <v>0.01</v>
      </c>
      <c r="AB32">
        <v>0</v>
      </c>
      <c r="AC32">
        <v>0</v>
      </c>
      <c r="AD32">
        <v>1</v>
      </c>
      <c r="AE32">
        <v>0</v>
      </c>
      <c r="AF32" t="s">
        <v>17</v>
      </c>
      <c r="AG32">
        <v>3.7499999999999999E-2</v>
      </c>
      <c r="AH32">
        <v>2</v>
      </c>
      <c r="AI32">
        <v>44963041</v>
      </c>
      <c r="AJ32">
        <v>34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ROW(Source!A33)</f>
        <v>33</v>
      </c>
      <c r="B33">
        <v>44963046</v>
      </c>
      <c r="C33">
        <v>44963038</v>
      </c>
      <c r="D33">
        <v>30534268</v>
      </c>
      <c r="E33">
        <v>30515945</v>
      </c>
      <c r="F33">
        <v>1</v>
      </c>
      <c r="G33">
        <v>30515945</v>
      </c>
      <c r="H33">
        <v>3</v>
      </c>
      <c r="I33" t="s">
        <v>595</v>
      </c>
      <c r="J33" t="s">
        <v>3</v>
      </c>
      <c r="K33" t="s">
        <v>596</v>
      </c>
      <c r="L33">
        <v>1346</v>
      </c>
      <c r="N33">
        <v>1009</v>
      </c>
      <c r="O33" t="s">
        <v>55</v>
      </c>
      <c r="P33" t="s">
        <v>55</v>
      </c>
      <c r="Q33">
        <v>1</v>
      </c>
      <c r="X33">
        <v>10.3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 t="s">
        <v>3</v>
      </c>
      <c r="AG33">
        <v>10.3</v>
      </c>
      <c r="AH33">
        <v>3</v>
      </c>
      <c r="AI33">
        <v>-1</v>
      </c>
      <c r="AJ33" t="s">
        <v>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ROW(Source!A35)</f>
        <v>35</v>
      </c>
      <c r="B34">
        <v>44963016</v>
      </c>
      <c r="C34">
        <v>44963015</v>
      </c>
      <c r="D34">
        <v>30515951</v>
      </c>
      <c r="E34">
        <v>30515945</v>
      </c>
      <c r="F34">
        <v>1</v>
      </c>
      <c r="G34">
        <v>30515945</v>
      </c>
      <c r="H34">
        <v>1</v>
      </c>
      <c r="I34" t="s">
        <v>388</v>
      </c>
      <c r="J34" t="s">
        <v>3</v>
      </c>
      <c r="K34" t="s">
        <v>389</v>
      </c>
      <c r="L34">
        <v>1191</v>
      </c>
      <c r="N34">
        <v>1013</v>
      </c>
      <c r="O34" t="s">
        <v>390</v>
      </c>
      <c r="P34" t="s">
        <v>390</v>
      </c>
      <c r="Q34">
        <v>1</v>
      </c>
      <c r="X34">
        <v>157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1</v>
      </c>
      <c r="AF34" t="s">
        <v>18</v>
      </c>
      <c r="AG34">
        <v>180.55</v>
      </c>
      <c r="AH34">
        <v>2</v>
      </c>
      <c r="AI34">
        <v>44963016</v>
      </c>
      <c r="AJ34">
        <v>36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ROW(Source!A35)</f>
        <v>35</v>
      </c>
      <c r="B35">
        <v>44963017</v>
      </c>
      <c r="C35">
        <v>44963015</v>
      </c>
      <c r="D35">
        <v>30516999</v>
      </c>
      <c r="E35">
        <v>30515945</v>
      </c>
      <c r="F35">
        <v>1</v>
      </c>
      <c r="G35">
        <v>30515945</v>
      </c>
      <c r="H35">
        <v>2</v>
      </c>
      <c r="I35" t="s">
        <v>438</v>
      </c>
      <c r="J35" t="s">
        <v>3</v>
      </c>
      <c r="K35" t="s">
        <v>439</v>
      </c>
      <c r="L35">
        <v>1344</v>
      </c>
      <c r="N35">
        <v>1008</v>
      </c>
      <c r="O35" t="s">
        <v>440</v>
      </c>
      <c r="P35" t="s">
        <v>440</v>
      </c>
      <c r="Q35">
        <v>1</v>
      </c>
      <c r="X35">
        <v>3.74</v>
      </c>
      <c r="Y35">
        <v>0</v>
      </c>
      <c r="Z35">
        <v>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17</v>
      </c>
      <c r="AG35">
        <v>4.6749999999999998</v>
      </c>
      <c r="AH35">
        <v>2</v>
      </c>
      <c r="AI35">
        <v>44963017</v>
      </c>
      <c r="AJ35">
        <v>37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ROW(Source!A35)</f>
        <v>35</v>
      </c>
      <c r="B36">
        <v>44963018</v>
      </c>
      <c r="C36">
        <v>44963015</v>
      </c>
      <c r="D36">
        <v>30571434</v>
      </c>
      <c r="E36">
        <v>1</v>
      </c>
      <c r="F36">
        <v>1</v>
      </c>
      <c r="G36">
        <v>30515945</v>
      </c>
      <c r="H36">
        <v>3</v>
      </c>
      <c r="I36" t="s">
        <v>450</v>
      </c>
      <c r="J36" t="s">
        <v>451</v>
      </c>
      <c r="K36" t="s">
        <v>452</v>
      </c>
      <c r="L36">
        <v>1348</v>
      </c>
      <c r="N36">
        <v>1009</v>
      </c>
      <c r="O36" t="s">
        <v>77</v>
      </c>
      <c r="P36" t="s">
        <v>77</v>
      </c>
      <c r="Q36">
        <v>1000</v>
      </c>
      <c r="X36">
        <v>0.02</v>
      </c>
      <c r="Y36">
        <v>46784.78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0.02</v>
      </c>
      <c r="AH36">
        <v>2</v>
      </c>
      <c r="AI36">
        <v>44963018</v>
      </c>
      <c r="AJ36">
        <v>39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ROW(Source!A35)</f>
        <v>35</v>
      </c>
      <c r="B37">
        <v>44963019</v>
      </c>
      <c r="C37">
        <v>44963015</v>
      </c>
      <c r="D37">
        <v>30534254</v>
      </c>
      <c r="E37">
        <v>30515945</v>
      </c>
      <c r="F37">
        <v>1</v>
      </c>
      <c r="G37">
        <v>30515945</v>
      </c>
      <c r="H37">
        <v>3</v>
      </c>
      <c r="I37" t="s">
        <v>597</v>
      </c>
      <c r="J37" t="s">
        <v>3</v>
      </c>
      <c r="K37" t="s">
        <v>598</v>
      </c>
      <c r="L37">
        <v>1348</v>
      </c>
      <c r="N37">
        <v>1009</v>
      </c>
      <c r="O37" t="s">
        <v>77</v>
      </c>
      <c r="P37" t="s">
        <v>77</v>
      </c>
      <c r="Q37">
        <v>1000</v>
      </c>
      <c r="X37">
        <v>1.6E-2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 t="s">
        <v>3</v>
      </c>
      <c r="AG37">
        <v>1.6E-2</v>
      </c>
      <c r="AH37">
        <v>3</v>
      </c>
      <c r="AI37">
        <v>-1</v>
      </c>
      <c r="AJ37" t="s">
        <v>3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ROW(Source!A35)</f>
        <v>35</v>
      </c>
      <c r="B38">
        <v>44963020</v>
      </c>
      <c r="C38">
        <v>44963015</v>
      </c>
      <c r="D38">
        <v>30534236</v>
      </c>
      <c r="E38">
        <v>30515945</v>
      </c>
      <c r="F38">
        <v>1</v>
      </c>
      <c r="G38">
        <v>30515945</v>
      </c>
      <c r="H38">
        <v>3</v>
      </c>
      <c r="I38" t="s">
        <v>599</v>
      </c>
      <c r="J38" t="s">
        <v>3</v>
      </c>
      <c r="K38" t="s">
        <v>600</v>
      </c>
      <c r="L38">
        <v>1346</v>
      </c>
      <c r="N38">
        <v>1009</v>
      </c>
      <c r="O38" t="s">
        <v>55</v>
      </c>
      <c r="P38" t="s">
        <v>55</v>
      </c>
      <c r="Q38">
        <v>1</v>
      </c>
      <c r="X38">
        <v>120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 t="s">
        <v>3</v>
      </c>
      <c r="AG38">
        <v>120</v>
      </c>
      <c r="AH38">
        <v>3</v>
      </c>
      <c r="AI38">
        <v>-1</v>
      </c>
      <c r="AJ38" t="s">
        <v>3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ROW(Source!A35)</f>
        <v>35</v>
      </c>
      <c r="B39">
        <v>44963021</v>
      </c>
      <c r="C39">
        <v>44963015</v>
      </c>
      <c r="D39">
        <v>30534112</v>
      </c>
      <c r="E39">
        <v>30515945</v>
      </c>
      <c r="F39">
        <v>1</v>
      </c>
      <c r="G39">
        <v>30515945</v>
      </c>
      <c r="H39">
        <v>3</v>
      </c>
      <c r="I39" t="s">
        <v>601</v>
      </c>
      <c r="J39" t="s">
        <v>3</v>
      </c>
      <c r="K39" t="s">
        <v>602</v>
      </c>
      <c r="L39">
        <v>1327</v>
      </c>
      <c r="N39">
        <v>1005</v>
      </c>
      <c r="O39" t="s">
        <v>36</v>
      </c>
      <c r="P39" t="s">
        <v>36</v>
      </c>
      <c r="Q39">
        <v>1</v>
      </c>
      <c r="X39">
        <v>112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 t="s">
        <v>3</v>
      </c>
      <c r="AG39">
        <v>112</v>
      </c>
      <c r="AH39">
        <v>3</v>
      </c>
      <c r="AI39">
        <v>-1</v>
      </c>
      <c r="AJ39" t="s">
        <v>3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ROW(Source!A35)</f>
        <v>35</v>
      </c>
      <c r="B40">
        <v>44963022</v>
      </c>
      <c r="C40">
        <v>44963015</v>
      </c>
      <c r="D40">
        <v>30541208</v>
      </c>
      <c r="E40">
        <v>30515945</v>
      </c>
      <c r="F40">
        <v>1</v>
      </c>
      <c r="G40">
        <v>30515945</v>
      </c>
      <c r="H40">
        <v>3</v>
      </c>
      <c r="I40" t="s">
        <v>453</v>
      </c>
      <c r="J40" t="s">
        <v>3</v>
      </c>
      <c r="K40" t="s">
        <v>454</v>
      </c>
      <c r="L40">
        <v>1344</v>
      </c>
      <c r="N40">
        <v>1008</v>
      </c>
      <c r="O40" t="s">
        <v>440</v>
      </c>
      <c r="P40" t="s">
        <v>440</v>
      </c>
      <c r="Q40">
        <v>1</v>
      </c>
      <c r="X40">
        <v>17.45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17.45</v>
      </c>
      <c r="AH40">
        <v>2</v>
      </c>
      <c r="AI40">
        <v>44963022</v>
      </c>
      <c r="AJ40">
        <v>42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ROW(Source!A39)</f>
        <v>39</v>
      </c>
      <c r="B41">
        <v>44963027</v>
      </c>
      <c r="C41">
        <v>44963026</v>
      </c>
      <c r="D41">
        <v>30515951</v>
      </c>
      <c r="E41">
        <v>30515945</v>
      </c>
      <c r="F41">
        <v>1</v>
      </c>
      <c r="G41">
        <v>30515945</v>
      </c>
      <c r="H41">
        <v>1</v>
      </c>
      <c r="I41" t="s">
        <v>388</v>
      </c>
      <c r="J41" t="s">
        <v>3</v>
      </c>
      <c r="K41" t="s">
        <v>389</v>
      </c>
      <c r="L41">
        <v>1191</v>
      </c>
      <c r="N41">
        <v>1013</v>
      </c>
      <c r="O41" t="s">
        <v>390</v>
      </c>
      <c r="P41" t="s">
        <v>390</v>
      </c>
      <c r="Q41">
        <v>1</v>
      </c>
      <c r="X41">
        <v>5.49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1</v>
      </c>
      <c r="AF41" t="s">
        <v>18</v>
      </c>
      <c r="AG41">
        <v>6.3135000000000003</v>
      </c>
      <c r="AH41">
        <v>2</v>
      </c>
      <c r="AI41">
        <v>44963027</v>
      </c>
      <c r="AJ41">
        <v>43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ROW(Source!A39)</f>
        <v>39</v>
      </c>
      <c r="B42">
        <v>44963028</v>
      </c>
      <c r="C42">
        <v>44963026</v>
      </c>
      <c r="D42">
        <v>30534254</v>
      </c>
      <c r="E42">
        <v>30515945</v>
      </c>
      <c r="F42">
        <v>1</v>
      </c>
      <c r="G42">
        <v>30515945</v>
      </c>
      <c r="H42">
        <v>3</v>
      </c>
      <c r="I42" t="s">
        <v>597</v>
      </c>
      <c r="J42" t="s">
        <v>3</v>
      </c>
      <c r="K42" t="s">
        <v>598</v>
      </c>
      <c r="L42">
        <v>1348</v>
      </c>
      <c r="N42">
        <v>1009</v>
      </c>
      <c r="O42" t="s">
        <v>77</v>
      </c>
      <c r="P42" t="s">
        <v>77</v>
      </c>
      <c r="Q42">
        <v>1000</v>
      </c>
      <c r="X42">
        <v>1.4999999999999999E-2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1.4999999999999999E-2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ROW(Source!A41)</f>
        <v>41</v>
      </c>
      <c r="B43">
        <v>44962250</v>
      </c>
      <c r="C43">
        <v>44962239</v>
      </c>
      <c r="D43">
        <v>30515951</v>
      </c>
      <c r="E43">
        <v>30515945</v>
      </c>
      <c r="F43">
        <v>1</v>
      </c>
      <c r="G43">
        <v>30515945</v>
      </c>
      <c r="H43">
        <v>1</v>
      </c>
      <c r="I43" t="s">
        <v>388</v>
      </c>
      <c r="J43" t="s">
        <v>3</v>
      </c>
      <c r="K43" t="s">
        <v>389</v>
      </c>
      <c r="L43">
        <v>1191</v>
      </c>
      <c r="N43">
        <v>1013</v>
      </c>
      <c r="O43" t="s">
        <v>390</v>
      </c>
      <c r="P43" t="s">
        <v>390</v>
      </c>
      <c r="Q43">
        <v>1</v>
      </c>
      <c r="X43">
        <v>65.7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1</v>
      </c>
      <c r="AF43" t="s">
        <v>18</v>
      </c>
      <c r="AG43">
        <v>75.555000000000007</v>
      </c>
      <c r="AH43">
        <v>2</v>
      </c>
      <c r="AI43">
        <v>44962240</v>
      </c>
      <c r="AJ43">
        <v>45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ROW(Source!A41)</f>
        <v>41</v>
      </c>
      <c r="B44">
        <v>44962251</v>
      </c>
      <c r="C44">
        <v>44962239</v>
      </c>
      <c r="D44">
        <v>30595797</v>
      </c>
      <c r="E44">
        <v>1</v>
      </c>
      <c r="F44">
        <v>1</v>
      </c>
      <c r="G44">
        <v>30515945</v>
      </c>
      <c r="H44">
        <v>2</v>
      </c>
      <c r="I44" t="s">
        <v>455</v>
      </c>
      <c r="J44" t="s">
        <v>456</v>
      </c>
      <c r="K44" t="s">
        <v>457</v>
      </c>
      <c r="L44">
        <v>1367</v>
      </c>
      <c r="N44">
        <v>1011</v>
      </c>
      <c r="O44" t="s">
        <v>394</v>
      </c>
      <c r="P44" t="s">
        <v>394</v>
      </c>
      <c r="Q44">
        <v>1</v>
      </c>
      <c r="X44">
        <v>2.78</v>
      </c>
      <c r="Y44">
        <v>0</v>
      </c>
      <c r="Z44">
        <v>6.39</v>
      </c>
      <c r="AA44">
        <v>0.32</v>
      </c>
      <c r="AB44">
        <v>0</v>
      </c>
      <c r="AC44">
        <v>0</v>
      </c>
      <c r="AD44">
        <v>1</v>
      </c>
      <c r="AE44">
        <v>0</v>
      </c>
      <c r="AF44" t="s">
        <v>17</v>
      </c>
      <c r="AG44">
        <v>3.4750000000000001</v>
      </c>
      <c r="AH44">
        <v>2</v>
      </c>
      <c r="AI44">
        <v>44962241</v>
      </c>
      <c r="AJ44">
        <v>46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ROW(Source!A41)</f>
        <v>41</v>
      </c>
      <c r="B45">
        <v>44962252</v>
      </c>
      <c r="C45">
        <v>44962239</v>
      </c>
      <c r="D45">
        <v>30596146</v>
      </c>
      <c r="E45">
        <v>1</v>
      </c>
      <c r="F45">
        <v>1</v>
      </c>
      <c r="G45">
        <v>30515945</v>
      </c>
      <c r="H45">
        <v>2</v>
      </c>
      <c r="I45" t="s">
        <v>458</v>
      </c>
      <c r="J45" t="s">
        <v>459</v>
      </c>
      <c r="K45" t="s">
        <v>460</v>
      </c>
      <c r="L45">
        <v>1367</v>
      </c>
      <c r="N45">
        <v>1011</v>
      </c>
      <c r="O45" t="s">
        <v>394</v>
      </c>
      <c r="P45" t="s">
        <v>394</v>
      </c>
      <c r="Q45">
        <v>1</v>
      </c>
      <c r="X45">
        <v>25.7</v>
      </c>
      <c r="Y45">
        <v>0</v>
      </c>
      <c r="Z45">
        <v>2.58</v>
      </c>
      <c r="AA45">
        <v>0.04</v>
      </c>
      <c r="AB45">
        <v>0</v>
      </c>
      <c r="AC45">
        <v>0</v>
      </c>
      <c r="AD45">
        <v>1</v>
      </c>
      <c r="AE45">
        <v>0</v>
      </c>
      <c r="AF45" t="s">
        <v>17</v>
      </c>
      <c r="AG45">
        <v>32.125</v>
      </c>
      <c r="AH45">
        <v>2</v>
      </c>
      <c r="AI45">
        <v>44962242</v>
      </c>
      <c r="AJ45">
        <v>47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ROW(Source!A41)</f>
        <v>41</v>
      </c>
      <c r="B46">
        <v>44962253</v>
      </c>
      <c r="C46">
        <v>44962239</v>
      </c>
      <c r="D46">
        <v>30595428</v>
      </c>
      <c r="E46">
        <v>1</v>
      </c>
      <c r="F46">
        <v>1</v>
      </c>
      <c r="G46">
        <v>30515945</v>
      </c>
      <c r="H46">
        <v>2</v>
      </c>
      <c r="I46" t="s">
        <v>461</v>
      </c>
      <c r="J46" t="s">
        <v>462</v>
      </c>
      <c r="K46" t="s">
        <v>463</v>
      </c>
      <c r="L46">
        <v>1367</v>
      </c>
      <c r="N46">
        <v>1011</v>
      </c>
      <c r="O46" t="s">
        <v>394</v>
      </c>
      <c r="P46" t="s">
        <v>394</v>
      </c>
      <c r="Q46">
        <v>1</v>
      </c>
      <c r="X46">
        <v>4.62</v>
      </c>
      <c r="Y46">
        <v>0</v>
      </c>
      <c r="Z46">
        <v>1.28</v>
      </c>
      <c r="AA46">
        <v>0.67</v>
      </c>
      <c r="AB46">
        <v>0</v>
      </c>
      <c r="AC46">
        <v>0</v>
      </c>
      <c r="AD46">
        <v>1</v>
      </c>
      <c r="AE46">
        <v>0</v>
      </c>
      <c r="AF46" t="s">
        <v>17</v>
      </c>
      <c r="AG46">
        <v>5.7750000000000004</v>
      </c>
      <c r="AH46">
        <v>2</v>
      </c>
      <c r="AI46">
        <v>44962243</v>
      </c>
      <c r="AJ46">
        <v>48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ROW(Source!A41)</f>
        <v>41</v>
      </c>
      <c r="B47">
        <v>44962254</v>
      </c>
      <c r="C47">
        <v>44962239</v>
      </c>
      <c r="D47">
        <v>30595440</v>
      </c>
      <c r="E47">
        <v>1</v>
      </c>
      <c r="F47">
        <v>1</v>
      </c>
      <c r="G47">
        <v>30515945</v>
      </c>
      <c r="H47">
        <v>2</v>
      </c>
      <c r="I47" t="s">
        <v>464</v>
      </c>
      <c r="J47" t="s">
        <v>465</v>
      </c>
      <c r="K47" t="s">
        <v>466</v>
      </c>
      <c r="L47">
        <v>1367</v>
      </c>
      <c r="N47">
        <v>1011</v>
      </c>
      <c r="O47" t="s">
        <v>394</v>
      </c>
      <c r="P47" t="s">
        <v>394</v>
      </c>
      <c r="Q47">
        <v>1</v>
      </c>
      <c r="X47">
        <v>1.3</v>
      </c>
      <c r="Y47">
        <v>0</v>
      </c>
      <c r="Z47">
        <v>0.8</v>
      </c>
      <c r="AA47">
        <v>0.09</v>
      </c>
      <c r="AB47">
        <v>0</v>
      </c>
      <c r="AC47">
        <v>0</v>
      </c>
      <c r="AD47">
        <v>1</v>
      </c>
      <c r="AE47">
        <v>0</v>
      </c>
      <c r="AF47" t="s">
        <v>17</v>
      </c>
      <c r="AG47">
        <v>1.625</v>
      </c>
      <c r="AH47">
        <v>2</v>
      </c>
      <c r="AI47">
        <v>44962244</v>
      </c>
      <c r="AJ47">
        <v>49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ROW(Source!A41)</f>
        <v>41</v>
      </c>
      <c r="B48">
        <v>44962255</v>
      </c>
      <c r="C48">
        <v>44962239</v>
      </c>
      <c r="D48">
        <v>30516999</v>
      </c>
      <c r="E48">
        <v>30515945</v>
      </c>
      <c r="F48">
        <v>1</v>
      </c>
      <c r="G48">
        <v>30515945</v>
      </c>
      <c r="H48">
        <v>2</v>
      </c>
      <c r="I48" t="s">
        <v>438</v>
      </c>
      <c r="J48" t="s">
        <v>3</v>
      </c>
      <c r="K48" t="s">
        <v>439</v>
      </c>
      <c r="L48">
        <v>1344</v>
      </c>
      <c r="N48">
        <v>1008</v>
      </c>
      <c r="O48" t="s">
        <v>440</v>
      </c>
      <c r="P48" t="s">
        <v>440</v>
      </c>
      <c r="Q48">
        <v>1</v>
      </c>
      <c r="X48">
        <v>40.56</v>
      </c>
      <c r="Y48">
        <v>0</v>
      </c>
      <c r="Z48">
        <v>1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17</v>
      </c>
      <c r="AG48">
        <v>50.7</v>
      </c>
      <c r="AH48">
        <v>2</v>
      </c>
      <c r="AI48">
        <v>44962245</v>
      </c>
      <c r="AJ48">
        <v>50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ROW(Source!A41)</f>
        <v>41</v>
      </c>
      <c r="B49">
        <v>44962256</v>
      </c>
      <c r="C49">
        <v>44962239</v>
      </c>
      <c r="D49">
        <v>30572493</v>
      </c>
      <c r="E49">
        <v>1</v>
      </c>
      <c r="F49">
        <v>1</v>
      </c>
      <c r="G49">
        <v>30515945</v>
      </c>
      <c r="H49">
        <v>3</v>
      </c>
      <c r="I49" t="s">
        <v>467</v>
      </c>
      <c r="J49" t="s">
        <v>468</v>
      </c>
      <c r="K49" t="s">
        <v>469</v>
      </c>
      <c r="L49">
        <v>1348</v>
      </c>
      <c r="N49">
        <v>1009</v>
      </c>
      <c r="O49" t="s">
        <v>77</v>
      </c>
      <c r="P49" t="s">
        <v>77</v>
      </c>
      <c r="Q49">
        <v>1000</v>
      </c>
      <c r="X49">
        <v>0.03</v>
      </c>
      <c r="Y49">
        <v>7191.81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0.03</v>
      </c>
      <c r="AH49">
        <v>2</v>
      </c>
      <c r="AI49">
        <v>44962246</v>
      </c>
      <c r="AJ49">
        <v>51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ROW(Source!A41)</f>
        <v>41</v>
      </c>
      <c r="B50">
        <v>44962257</v>
      </c>
      <c r="C50">
        <v>44962239</v>
      </c>
      <c r="D50">
        <v>30592678</v>
      </c>
      <c r="E50">
        <v>1</v>
      </c>
      <c r="F50">
        <v>1</v>
      </c>
      <c r="G50">
        <v>30515945</v>
      </c>
      <c r="H50">
        <v>3</v>
      </c>
      <c r="I50" t="s">
        <v>470</v>
      </c>
      <c r="J50" t="s">
        <v>471</v>
      </c>
      <c r="K50" t="s">
        <v>472</v>
      </c>
      <c r="L50">
        <v>1348</v>
      </c>
      <c r="N50">
        <v>1009</v>
      </c>
      <c r="O50" t="s">
        <v>77</v>
      </c>
      <c r="P50" t="s">
        <v>77</v>
      </c>
      <c r="Q50">
        <v>1000</v>
      </c>
      <c r="X50">
        <v>1.4E-2</v>
      </c>
      <c r="Y50">
        <v>12654.07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1.4E-2</v>
      </c>
      <c r="AH50">
        <v>2</v>
      </c>
      <c r="AI50">
        <v>44962247</v>
      </c>
      <c r="AJ50">
        <v>52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ROW(Source!A41)</f>
        <v>41</v>
      </c>
      <c r="B51">
        <v>44962258</v>
      </c>
      <c r="C51">
        <v>44962239</v>
      </c>
      <c r="D51">
        <v>30541932</v>
      </c>
      <c r="E51">
        <v>30515945</v>
      </c>
      <c r="F51">
        <v>1</v>
      </c>
      <c r="G51">
        <v>30515945</v>
      </c>
      <c r="H51">
        <v>3</v>
      </c>
      <c r="I51" t="s">
        <v>603</v>
      </c>
      <c r="J51" t="s">
        <v>3</v>
      </c>
      <c r="K51" t="s">
        <v>604</v>
      </c>
      <c r="L51">
        <v>1348</v>
      </c>
      <c r="N51">
        <v>1009</v>
      </c>
      <c r="O51" t="s">
        <v>77</v>
      </c>
      <c r="P51" t="s">
        <v>77</v>
      </c>
      <c r="Q51">
        <v>1000</v>
      </c>
      <c r="X51">
        <v>1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 t="s">
        <v>3</v>
      </c>
      <c r="AG51">
        <v>1</v>
      </c>
      <c r="AH51">
        <v>3</v>
      </c>
      <c r="AI51">
        <v>-1</v>
      </c>
      <c r="AJ51" t="s">
        <v>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ROW(Source!A41)</f>
        <v>41</v>
      </c>
      <c r="B52">
        <v>44962259</v>
      </c>
      <c r="C52">
        <v>44962239</v>
      </c>
      <c r="D52">
        <v>30541208</v>
      </c>
      <c r="E52">
        <v>30515945</v>
      </c>
      <c r="F52">
        <v>1</v>
      </c>
      <c r="G52">
        <v>30515945</v>
      </c>
      <c r="H52">
        <v>3</v>
      </c>
      <c r="I52" t="s">
        <v>453</v>
      </c>
      <c r="J52" t="s">
        <v>3</v>
      </c>
      <c r="K52" t="s">
        <v>454</v>
      </c>
      <c r="L52">
        <v>1344</v>
      </c>
      <c r="N52">
        <v>1008</v>
      </c>
      <c r="O52" t="s">
        <v>440</v>
      </c>
      <c r="P52" t="s">
        <v>440</v>
      </c>
      <c r="Q52">
        <v>1</v>
      </c>
      <c r="X52">
        <v>39.479999999999997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39.479999999999997</v>
      </c>
      <c r="AH52">
        <v>2</v>
      </c>
      <c r="AI52">
        <v>44962248</v>
      </c>
      <c r="AJ52">
        <v>54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ROW(Source!A43)</f>
        <v>43</v>
      </c>
      <c r="B53">
        <v>44962268</v>
      </c>
      <c r="C53">
        <v>44962261</v>
      </c>
      <c r="D53">
        <v>30515951</v>
      </c>
      <c r="E53">
        <v>30515945</v>
      </c>
      <c r="F53">
        <v>1</v>
      </c>
      <c r="G53">
        <v>30515945</v>
      </c>
      <c r="H53">
        <v>1</v>
      </c>
      <c r="I53" t="s">
        <v>388</v>
      </c>
      <c r="J53" t="s">
        <v>3</v>
      </c>
      <c r="K53" t="s">
        <v>389</v>
      </c>
      <c r="L53">
        <v>1191</v>
      </c>
      <c r="N53">
        <v>1013</v>
      </c>
      <c r="O53" t="s">
        <v>390</v>
      </c>
      <c r="P53" t="s">
        <v>390</v>
      </c>
      <c r="Q53">
        <v>1</v>
      </c>
      <c r="X53">
        <v>176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1</v>
      </c>
      <c r="AF53" t="s">
        <v>18</v>
      </c>
      <c r="AG53">
        <v>202.4</v>
      </c>
      <c r="AH53">
        <v>2</v>
      </c>
      <c r="AI53">
        <v>44962262</v>
      </c>
      <c r="AJ53">
        <v>55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ROW(Source!A43)</f>
        <v>43</v>
      </c>
      <c r="B54">
        <v>44962269</v>
      </c>
      <c r="C54">
        <v>44962261</v>
      </c>
      <c r="D54">
        <v>30516999</v>
      </c>
      <c r="E54">
        <v>30515945</v>
      </c>
      <c r="F54">
        <v>1</v>
      </c>
      <c r="G54">
        <v>30515945</v>
      </c>
      <c r="H54">
        <v>2</v>
      </c>
      <c r="I54" t="s">
        <v>438</v>
      </c>
      <c r="J54" t="s">
        <v>3</v>
      </c>
      <c r="K54" t="s">
        <v>439</v>
      </c>
      <c r="L54">
        <v>1344</v>
      </c>
      <c r="N54">
        <v>1008</v>
      </c>
      <c r="O54" t="s">
        <v>440</v>
      </c>
      <c r="P54" t="s">
        <v>440</v>
      </c>
      <c r="Q54">
        <v>1</v>
      </c>
      <c r="X54">
        <v>19.66</v>
      </c>
      <c r="Y54">
        <v>0</v>
      </c>
      <c r="Z54">
        <v>1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17</v>
      </c>
      <c r="AG54">
        <v>24.574999999999999</v>
      </c>
      <c r="AH54">
        <v>2</v>
      </c>
      <c r="AI54">
        <v>44962263</v>
      </c>
      <c r="AJ54">
        <v>56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ROW(Source!A43)</f>
        <v>43</v>
      </c>
      <c r="B55">
        <v>44962270</v>
      </c>
      <c r="C55">
        <v>44962261</v>
      </c>
      <c r="D55">
        <v>30571127</v>
      </c>
      <c r="E55">
        <v>1</v>
      </c>
      <c r="F55">
        <v>1</v>
      </c>
      <c r="G55">
        <v>30515945</v>
      </c>
      <c r="H55">
        <v>3</v>
      </c>
      <c r="I55" t="s">
        <v>473</v>
      </c>
      <c r="J55" t="s">
        <v>474</v>
      </c>
      <c r="K55" t="s">
        <v>475</v>
      </c>
      <c r="L55">
        <v>1348</v>
      </c>
      <c r="N55">
        <v>1009</v>
      </c>
      <c r="O55" t="s">
        <v>77</v>
      </c>
      <c r="P55" t="s">
        <v>77</v>
      </c>
      <c r="Q55">
        <v>1000</v>
      </c>
      <c r="X55">
        <v>2.8500000000000001E-3</v>
      </c>
      <c r="Y55">
        <v>17876.91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2.8500000000000001E-3</v>
      </c>
      <c r="AH55">
        <v>2</v>
      </c>
      <c r="AI55">
        <v>44962264</v>
      </c>
      <c r="AJ55">
        <v>57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ROW(Source!A43)</f>
        <v>43</v>
      </c>
      <c r="B56">
        <v>44962271</v>
      </c>
      <c r="C56">
        <v>44962261</v>
      </c>
      <c r="D56">
        <v>30541932</v>
      </c>
      <c r="E56">
        <v>30515945</v>
      </c>
      <c r="F56">
        <v>1</v>
      </c>
      <c r="G56">
        <v>30515945</v>
      </c>
      <c r="H56">
        <v>3</v>
      </c>
      <c r="I56" t="s">
        <v>603</v>
      </c>
      <c r="J56" t="s">
        <v>3</v>
      </c>
      <c r="K56" t="s">
        <v>605</v>
      </c>
      <c r="L56">
        <v>1391</v>
      </c>
      <c r="N56">
        <v>1013</v>
      </c>
      <c r="O56" t="s">
        <v>113</v>
      </c>
      <c r="P56" t="s">
        <v>113</v>
      </c>
      <c r="Q56">
        <v>1</v>
      </c>
      <c r="X56">
        <v>100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 t="s">
        <v>3</v>
      </c>
      <c r="AG56">
        <v>100</v>
      </c>
      <c r="AH56">
        <v>3</v>
      </c>
      <c r="AI56">
        <v>-1</v>
      </c>
      <c r="AJ56" t="s">
        <v>3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ROW(Source!A43)</f>
        <v>43</v>
      </c>
      <c r="B57">
        <v>44962272</v>
      </c>
      <c r="C57">
        <v>44962261</v>
      </c>
      <c r="D57">
        <v>30531771</v>
      </c>
      <c r="E57">
        <v>30515945</v>
      </c>
      <c r="F57">
        <v>1</v>
      </c>
      <c r="G57">
        <v>30515945</v>
      </c>
      <c r="H57">
        <v>3</v>
      </c>
      <c r="I57" t="s">
        <v>606</v>
      </c>
      <c r="J57" t="s">
        <v>3</v>
      </c>
      <c r="K57" t="s">
        <v>607</v>
      </c>
      <c r="L57">
        <v>1327</v>
      </c>
      <c r="N57">
        <v>1005</v>
      </c>
      <c r="O57" t="s">
        <v>36</v>
      </c>
      <c r="P57" t="s">
        <v>36</v>
      </c>
      <c r="Q57">
        <v>1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 t="s">
        <v>3</v>
      </c>
      <c r="AG57">
        <v>0</v>
      </c>
      <c r="AH57">
        <v>3</v>
      </c>
      <c r="AI57">
        <v>-1</v>
      </c>
      <c r="AJ57" t="s">
        <v>3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ROW(Source!A43)</f>
        <v>43</v>
      </c>
      <c r="B58">
        <v>44962273</v>
      </c>
      <c r="C58">
        <v>44962261</v>
      </c>
      <c r="D58">
        <v>30541208</v>
      </c>
      <c r="E58">
        <v>30515945</v>
      </c>
      <c r="F58">
        <v>1</v>
      </c>
      <c r="G58">
        <v>30515945</v>
      </c>
      <c r="H58">
        <v>3</v>
      </c>
      <c r="I58" t="s">
        <v>453</v>
      </c>
      <c r="J58" t="s">
        <v>3</v>
      </c>
      <c r="K58" t="s">
        <v>454</v>
      </c>
      <c r="L58">
        <v>1344</v>
      </c>
      <c r="N58">
        <v>1008</v>
      </c>
      <c r="O58" t="s">
        <v>440</v>
      </c>
      <c r="P58" t="s">
        <v>440</v>
      </c>
      <c r="Q58">
        <v>1</v>
      </c>
      <c r="X58">
        <v>0.87</v>
      </c>
      <c r="Y58">
        <v>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0.87</v>
      </c>
      <c r="AH58">
        <v>2</v>
      </c>
      <c r="AI58">
        <v>44962265</v>
      </c>
      <c r="AJ58">
        <v>60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ROW(Source!A48)</f>
        <v>48</v>
      </c>
      <c r="B59">
        <v>44962396</v>
      </c>
      <c r="C59">
        <v>44962391</v>
      </c>
      <c r="D59">
        <v>30515951</v>
      </c>
      <c r="E59">
        <v>30515945</v>
      </c>
      <c r="F59">
        <v>1</v>
      </c>
      <c r="G59">
        <v>30515945</v>
      </c>
      <c r="H59">
        <v>1</v>
      </c>
      <c r="I59" t="s">
        <v>388</v>
      </c>
      <c r="J59" t="s">
        <v>3</v>
      </c>
      <c r="K59" t="s">
        <v>389</v>
      </c>
      <c r="L59">
        <v>1191</v>
      </c>
      <c r="N59">
        <v>1013</v>
      </c>
      <c r="O59" t="s">
        <v>390</v>
      </c>
      <c r="P59" t="s">
        <v>390</v>
      </c>
      <c r="Q59">
        <v>1</v>
      </c>
      <c r="X59">
        <v>23.33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1</v>
      </c>
      <c r="AF59" t="s">
        <v>18</v>
      </c>
      <c r="AG59">
        <v>26.829499999999999</v>
      </c>
      <c r="AH59">
        <v>2</v>
      </c>
      <c r="AI59">
        <v>44962392</v>
      </c>
      <c r="AJ59">
        <v>62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ROW(Source!A48)</f>
        <v>48</v>
      </c>
      <c r="B60">
        <v>44962397</v>
      </c>
      <c r="C60">
        <v>44962391</v>
      </c>
      <c r="D60">
        <v>30595604</v>
      </c>
      <c r="E60">
        <v>1</v>
      </c>
      <c r="F60">
        <v>1</v>
      </c>
      <c r="G60">
        <v>30515945</v>
      </c>
      <c r="H60">
        <v>2</v>
      </c>
      <c r="I60" t="s">
        <v>476</v>
      </c>
      <c r="J60" t="s">
        <v>477</v>
      </c>
      <c r="K60" t="s">
        <v>478</v>
      </c>
      <c r="L60">
        <v>1367</v>
      </c>
      <c r="N60">
        <v>1011</v>
      </c>
      <c r="O60" t="s">
        <v>394</v>
      </c>
      <c r="P60" t="s">
        <v>394</v>
      </c>
      <c r="Q60">
        <v>1</v>
      </c>
      <c r="X60">
        <v>7.82</v>
      </c>
      <c r="Y60">
        <v>0</v>
      </c>
      <c r="Z60">
        <v>1.61</v>
      </c>
      <c r="AA60">
        <v>0.04</v>
      </c>
      <c r="AB60">
        <v>0</v>
      </c>
      <c r="AC60">
        <v>0</v>
      </c>
      <c r="AD60">
        <v>1</v>
      </c>
      <c r="AE60">
        <v>0</v>
      </c>
      <c r="AF60" t="s">
        <v>17</v>
      </c>
      <c r="AG60">
        <v>9.7750000000000004</v>
      </c>
      <c r="AH60">
        <v>2</v>
      </c>
      <c r="AI60">
        <v>44962393</v>
      </c>
      <c r="AJ60">
        <v>63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ROW(Source!A48)</f>
        <v>48</v>
      </c>
      <c r="B61">
        <v>44962398</v>
      </c>
      <c r="C61">
        <v>44962391</v>
      </c>
      <c r="D61">
        <v>30571181</v>
      </c>
      <c r="E61">
        <v>1</v>
      </c>
      <c r="F61">
        <v>1</v>
      </c>
      <c r="G61">
        <v>30515945</v>
      </c>
      <c r="H61">
        <v>3</v>
      </c>
      <c r="I61" t="s">
        <v>441</v>
      </c>
      <c r="J61" t="s">
        <v>442</v>
      </c>
      <c r="K61" t="s">
        <v>443</v>
      </c>
      <c r="L61">
        <v>1339</v>
      </c>
      <c r="N61">
        <v>1007</v>
      </c>
      <c r="O61" t="s">
        <v>140</v>
      </c>
      <c r="P61" t="s">
        <v>140</v>
      </c>
      <c r="Q61">
        <v>1</v>
      </c>
      <c r="X61">
        <v>3.5</v>
      </c>
      <c r="Y61">
        <v>7.07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3.5</v>
      </c>
      <c r="AH61">
        <v>2</v>
      </c>
      <c r="AI61">
        <v>44962394</v>
      </c>
      <c r="AJ61">
        <v>64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ROW(Source!A48)</f>
        <v>48</v>
      </c>
      <c r="B62">
        <v>44962399</v>
      </c>
      <c r="C62">
        <v>44962391</v>
      </c>
      <c r="D62">
        <v>30532340</v>
      </c>
      <c r="E62">
        <v>30515945</v>
      </c>
      <c r="F62">
        <v>1</v>
      </c>
      <c r="G62">
        <v>30515945</v>
      </c>
      <c r="H62">
        <v>3</v>
      </c>
      <c r="I62" t="s">
        <v>608</v>
      </c>
      <c r="J62" t="s">
        <v>3</v>
      </c>
      <c r="K62" t="s">
        <v>609</v>
      </c>
      <c r="L62">
        <v>1339</v>
      </c>
      <c r="N62">
        <v>1007</v>
      </c>
      <c r="O62" t="s">
        <v>140</v>
      </c>
      <c r="P62" t="s">
        <v>140</v>
      </c>
      <c r="Q62">
        <v>1</v>
      </c>
      <c r="X62">
        <v>2.04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 t="s">
        <v>3</v>
      </c>
      <c r="AG62">
        <v>2.04</v>
      </c>
      <c r="AH62">
        <v>3</v>
      </c>
      <c r="AI62">
        <v>-1</v>
      </c>
      <c r="AJ62" t="s">
        <v>3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ROW(Source!A50)</f>
        <v>50</v>
      </c>
      <c r="B63">
        <v>44962405</v>
      </c>
      <c r="C63">
        <v>44962401</v>
      </c>
      <c r="D63">
        <v>30515951</v>
      </c>
      <c r="E63">
        <v>30515945</v>
      </c>
      <c r="F63">
        <v>1</v>
      </c>
      <c r="G63">
        <v>30515945</v>
      </c>
      <c r="H63">
        <v>1</v>
      </c>
      <c r="I63" t="s">
        <v>388</v>
      </c>
      <c r="J63" t="s">
        <v>3</v>
      </c>
      <c r="K63" t="s">
        <v>389</v>
      </c>
      <c r="L63">
        <v>1191</v>
      </c>
      <c r="N63">
        <v>1013</v>
      </c>
      <c r="O63" t="s">
        <v>390</v>
      </c>
      <c r="P63" t="s">
        <v>390</v>
      </c>
      <c r="Q63">
        <v>1</v>
      </c>
      <c r="X63">
        <v>0.44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1</v>
      </c>
      <c r="AF63" t="s">
        <v>148</v>
      </c>
      <c r="AG63">
        <v>3.036</v>
      </c>
      <c r="AH63">
        <v>2</v>
      </c>
      <c r="AI63">
        <v>44962402</v>
      </c>
      <c r="AJ63">
        <v>66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ROW(Source!A50)</f>
        <v>50</v>
      </c>
      <c r="B64">
        <v>44962406</v>
      </c>
      <c r="C64">
        <v>44962401</v>
      </c>
      <c r="D64">
        <v>30595604</v>
      </c>
      <c r="E64">
        <v>1</v>
      </c>
      <c r="F64">
        <v>1</v>
      </c>
      <c r="G64">
        <v>30515945</v>
      </c>
      <c r="H64">
        <v>2</v>
      </c>
      <c r="I64" t="s">
        <v>476</v>
      </c>
      <c r="J64" t="s">
        <v>477</v>
      </c>
      <c r="K64" t="s">
        <v>478</v>
      </c>
      <c r="L64">
        <v>1367</v>
      </c>
      <c r="N64">
        <v>1011</v>
      </c>
      <c r="O64" t="s">
        <v>394</v>
      </c>
      <c r="P64" t="s">
        <v>394</v>
      </c>
      <c r="Q64">
        <v>1</v>
      </c>
      <c r="X64">
        <v>2</v>
      </c>
      <c r="Y64">
        <v>0</v>
      </c>
      <c r="Z64">
        <v>1.61</v>
      </c>
      <c r="AA64">
        <v>0.04</v>
      </c>
      <c r="AB64">
        <v>0</v>
      </c>
      <c r="AC64">
        <v>0</v>
      </c>
      <c r="AD64">
        <v>1</v>
      </c>
      <c r="AE64">
        <v>0</v>
      </c>
      <c r="AF64" t="s">
        <v>147</v>
      </c>
      <c r="AG64">
        <v>15</v>
      </c>
      <c r="AH64">
        <v>2</v>
      </c>
      <c r="AI64">
        <v>44962403</v>
      </c>
      <c r="AJ64">
        <v>67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ROW(Source!A50)</f>
        <v>50</v>
      </c>
      <c r="B65">
        <v>44962407</v>
      </c>
      <c r="C65">
        <v>44962401</v>
      </c>
      <c r="D65">
        <v>30532340</v>
      </c>
      <c r="E65">
        <v>30515945</v>
      </c>
      <c r="F65">
        <v>1</v>
      </c>
      <c r="G65">
        <v>30515945</v>
      </c>
      <c r="H65">
        <v>3</v>
      </c>
      <c r="I65" t="s">
        <v>608</v>
      </c>
      <c r="J65" t="s">
        <v>3</v>
      </c>
      <c r="K65" t="s">
        <v>609</v>
      </c>
      <c r="L65">
        <v>1339</v>
      </c>
      <c r="N65">
        <v>1007</v>
      </c>
      <c r="O65" t="s">
        <v>140</v>
      </c>
      <c r="P65" t="s">
        <v>140</v>
      </c>
      <c r="Q65">
        <v>1</v>
      </c>
      <c r="X65">
        <v>0.51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 t="s">
        <v>146</v>
      </c>
      <c r="AG65">
        <v>3.06</v>
      </c>
      <c r="AH65">
        <v>3</v>
      </c>
      <c r="AI65">
        <v>-1</v>
      </c>
      <c r="AJ65" t="s">
        <v>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ROW(Source!A52)</f>
        <v>52</v>
      </c>
      <c r="B66">
        <v>44962419</v>
      </c>
      <c r="C66">
        <v>44962409</v>
      </c>
      <c r="D66">
        <v>30515951</v>
      </c>
      <c r="E66">
        <v>30515945</v>
      </c>
      <c r="F66">
        <v>1</v>
      </c>
      <c r="G66">
        <v>30515945</v>
      </c>
      <c r="H66">
        <v>1</v>
      </c>
      <c r="I66" t="s">
        <v>388</v>
      </c>
      <c r="J66" t="s">
        <v>3</v>
      </c>
      <c r="K66" t="s">
        <v>389</v>
      </c>
      <c r="L66">
        <v>1191</v>
      </c>
      <c r="N66">
        <v>1013</v>
      </c>
      <c r="O66" t="s">
        <v>390</v>
      </c>
      <c r="P66" t="s">
        <v>390</v>
      </c>
      <c r="Q66">
        <v>1</v>
      </c>
      <c r="X66">
        <v>33.020000000000003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1</v>
      </c>
      <c r="AF66" t="s">
        <v>18</v>
      </c>
      <c r="AG66">
        <v>37.972999999999999</v>
      </c>
      <c r="AH66">
        <v>2</v>
      </c>
      <c r="AI66">
        <v>44962410</v>
      </c>
      <c r="AJ66">
        <v>69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ROW(Source!A52)</f>
        <v>52</v>
      </c>
      <c r="B67">
        <v>44962420</v>
      </c>
      <c r="C67">
        <v>44962409</v>
      </c>
      <c r="D67">
        <v>30595822</v>
      </c>
      <c r="E67">
        <v>1</v>
      </c>
      <c r="F67">
        <v>1</v>
      </c>
      <c r="G67">
        <v>30515945</v>
      </c>
      <c r="H67">
        <v>2</v>
      </c>
      <c r="I67" t="s">
        <v>479</v>
      </c>
      <c r="J67" t="s">
        <v>480</v>
      </c>
      <c r="K67" t="s">
        <v>481</v>
      </c>
      <c r="L67">
        <v>1367</v>
      </c>
      <c r="N67">
        <v>1011</v>
      </c>
      <c r="O67" t="s">
        <v>394</v>
      </c>
      <c r="P67" t="s">
        <v>394</v>
      </c>
      <c r="Q67">
        <v>1</v>
      </c>
      <c r="X67">
        <v>2.4</v>
      </c>
      <c r="Y67">
        <v>0</v>
      </c>
      <c r="Z67">
        <v>8.65</v>
      </c>
      <c r="AA67">
        <v>0.81</v>
      </c>
      <c r="AB67">
        <v>0</v>
      </c>
      <c r="AC67">
        <v>0</v>
      </c>
      <c r="AD67">
        <v>1</v>
      </c>
      <c r="AE67">
        <v>0</v>
      </c>
      <c r="AF67" t="s">
        <v>17</v>
      </c>
      <c r="AG67">
        <v>3</v>
      </c>
      <c r="AH67">
        <v>2</v>
      </c>
      <c r="AI67">
        <v>44962411</v>
      </c>
      <c r="AJ67">
        <v>70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ROW(Source!A52)</f>
        <v>52</v>
      </c>
      <c r="B68">
        <v>44962421</v>
      </c>
      <c r="C68">
        <v>44962409</v>
      </c>
      <c r="D68">
        <v>30596074</v>
      </c>
      <c r="E68">
        <v>1</v>
      </c>
      <c r="F68">
        <v>1</v>
      </c>
      <c r="G68">
        <v>30515945</v>
      </c>
      <c r="H68">
        <v>2</v>
      </c>
      <c r="I68" t="s">
        <v>391</v>
      </c>
      <c r="J68" t="s">
        <v>392</v>
      </c>
      <c r="K68" t="s">
        <v>393</v>
      </c>
      <c r="L68">
        <v>1367</v>
      </c>
      <c r="N68">
        <v>1011</v>
      </c>
      <c r="O68" t="s">
        <v>394</v>
      </c>
      <c r="P68" t="s">
        <v>394</v>
      </c>
      <c r="Q68">
        <v>1</v>
      </c>
      <c r="X68">
        <v>0.47</v>
      </c>
      <c r="Y68">
        <v>0</v>
      </c>
      <c r="Z68">
        <v>76.81</v>
      </c>
      <c r="AA68">
        <v>14.36</v>
      </c>
      <c r="AB68">
        <v>0</v>
      </c>
      <c r="AC68">
        <v>0</v>
      </c>
      <c r="AD68">
        <v>1</v>
      </c>
      <c r="AE68">
        <v>0</v>
      </c>
      <c r="AF68" t="s">
        <v>17</v>
      </c>
      <c r="AG68">
        <v>0.58750000000000002</v>
      </c>
      <c r="AH68">
        <v>2</v>
      </c>
      <c r="AI68">
        <v>44962412</v>
      </c>
      <c r="AJ68">
        <v>71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ROW(Source!A52)</f>
        <v>52</v>
      </c>
      <c r="B69">
        <v>44962422</v>
      </c>
      <c r="C69">
        <v>44962409</v>
      </c>
      <c r="D69">
        <v>30596197</v>
      </c>
      <c r="E69">
        <v>1</v>
      </c>
      <c r="F69">
        <v>1</v>
      </c>
      <c r="G69">
        <v>30515945</v>
      </c>
      <c r="H69">
        <v>2</v>
      </c>
      <c r="I69" t="s">
        <v>395</v>
      </c>
      <c r="J69" t="s">
        <v>396</v>
      </c>
      <c r="K69" t="s">
        <v>397</v>
      </c>
      <c r="L69">
        <v>1367</v>
      </c>
      <c r="N69">
        <v>1011</v>
      </c>
      <c r="O69" t="s">
        <v>394</v>
      </c>
      <c r="P69" t="s">
        <v>394</v>
      </c>
      <c r="Q69">
        <v>1</v>
      </c>
      <c r="X69">
        <v>3.32</v>
      </c>
      <c r="Y69">
        <v>0</v>
      </c>
      <c r="Z69">
        <v>2.36</v>
      </c>
      <c r="AA69">
        <v>0.04</v>
      </c>
      <c r="AB69">
        <v>0</v>
      </c>
      <c r="AC69">
        <v>0</v>
      </c>
      <c r="AD69">
        <v>1</v>
      </c>
      <c r="AE69">
        <v>0</v>
      </c>
      <c r="AF69" t="s">
        <v>17</v>
      </c>
      <c r="AG69">
        <v>4.1500000000000004</v>
      </c>
      <c r="AH69">
        <v>2</v>
      </c>
      <c r="AI69">
        <v>44962413</v>
      </c>
      <c r="AJ69">
        <v>72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ROW(Source!A52)</f>
        <v>52</v>
      </c>
      <c r="B70">
        <v>44962423</v>
      </c>
      <c r="C70">
        <v>44962409</v>
      </c>
      <c r="D70">
        <v>30595408</v>
      </c>
      <c r="E70">
        <v>1</v>
      </c>
      <c r="F70">
        <v>1</v>
      </c>
      <c r="G70">
        <v>30515945</v>
      </c>
      <c r="H70">
        <v>2</v>
      </c>
      <c r="I70" t="s">
        <v>482</v>
      </c>
      <c r="J70" t="s">
        <v>483</v>
      </c>
      <c r="K70" t="s">
        <v>484</v>
      </c>
      <c r="L70">
        <v>1367</v>
      </c>
      <c r="N70">
        <v>1011</v>
      </c>
      <c r="O70" t="s">
        <v>394</v>
      </c>
      <c r="P70" t="s">
        <v>394</v>
      </c>
      <c r="Q70">
        <v>1</v>
      </c>
      <c r="X70">
        <v>0.02</v>
      </c>
      <c r="Y70">
        <v>0</v>
      </c>
      <c r="Z70">
        <v>58.48</v>
      </c>
      <c r="AA70">
        <v>18.350000000000001</v>
      </c>
      <c r="AB70">
        <v>0</v>
      </c>
      <c r="AC70">
        <v>0</v>
      </c>
      <c r="AD70">
        <v>1</v>
      </c>
      <c r="AE70">
        <v>0</v>
      </c>
      <c r="AF70" t="s">
        <v>17</v>
      </c>
      <c r="AG70">
        <v>2.5000000000000001E-2</v>
      </c>
      <c r="AH70">
        <v>2</v>
      </c>
      <c r="AI70">
        <v>44962414</v>
      </c>
      <c r="AJ70">
        <v>73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ROW(Source!A52)</f>
        <v>52</v>
      </c>
      <c r="B71">
        <v>44962424</v>
      </c>
      <c r="C71">
        <v>44962409</v>
      </c>
      <c r="D71">
        <v>30571181</v>
      </c>
      <c r="E71">
        <v>1</v>
      </c>
      <c r="F71">
        <v>1</v>
      </c>
      <c r="G71">
        <v>30515945</v>
      </c>
      <c r="H71">
        <v>3</v>
      </c>
      <c r="I71" t="s">
        <v>441</v>
      </c>
      <c r="J71" t="s">
        <v>442</v>
      </c>
      <c r="K71" t="s">
        <v>443</v>
      </c>
      <c r="L71">
        <v>1339</v>
      </c>
      <c r="N71">
        <v>1007</v>
      </c>
      <c r="O71" t="s">
        <v>140</v>
      </c>
      <c r="P71" t="s">
        <v>140</v>
      </c>
      <c r="Q71">
        <v>1</v>
      </c>
      <c r="X71">
        <v>0.30199999999999999</v>
      </c>
      <c r="Y71">
        <v>7.07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0.30199999999999999</v>
      </c>
      <c r="AH71">
        <v>2</v>
      </c>
      <c r="AI71">
        <v>44962415</v>
      </c>
      <c r="AJ71">
        <v>74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ROW(Source!A52)</f>
        <v>52</v>
      </c>
      <c r="B72">
        <v>44962425</v>
      </c>
      <c r="C72">
        <v>44962409</v>
      </c>
      <c r="D72">
        <v>30573305</v>
      </c>
      <c r="E72">
        <v>1</v>
      </c>
      <c r="F72">
        <v>1</v>
      </c>
      <c r="G72">
        <v>30515945</v>
      </c>
      <c r="H72">
        <v>3</v>
      </c>
      <c r="I72" t="s">
        <v>485</v>
      </c>
      <c r="J72" t="s">
        <v>486</v>
      </c>
      <c r="K72" t="s">
        <v>487</v>
      </c>
      <c r="L72">
        <v>1327</v>
      </c>
      <c r="N72">
        <v>1005</v>
      </c>
      <c r="O72" t="s">
        <v>36</v>
      </c>
      <c r="P72" t="s">
        <v>36</v>
      </c>
      <c r="Q72">
        <v>1</v>
      </c>
      <c r="X72">
        <v>10</v>
      </c>
      <c r="Y72">
        <v>2.31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10</v>
      </c>
      <c r="AH72">
        <v>2</v>
      </c>
      <c r="AI72">
        <v>44962416</v>
      </c>
      <c r="AJ72">
        <v>75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ROW(Source!A52)</f>
        <v>52</v>
      </c>
      <c r="B73">
        <v>44962426</v>
      </c>
      <c r="C73">
        <v>44962409</v>
      </c>
      <c r="D73">
        <v>30533689</v>
      </c>
      <c r="E73">
        <v>30515945</v>
      </c>
      <c r="F73">
        <v>1</v>
      </c>
      <c r="G73">
        <v>30515945</v>
      </c>
      <c r="H73">
        <v>3</v>
      </c>
      <c r="I73" t="s">
        <v>610</v>
      </c>
      <c r="J73" t="s">
        <v>3</v>
      </c>
      <c r="K73" t="s">
        <v>611</v>
      </c>
      <c r="L73">
        <v>1346</v>
      </c>
      <c r="N73">
        <v>1009</v>
      </c>
      <c r="O73" t="s">
        <v>55</v>
      </c>
      <c r="P73" t="s">
        <v>55</v>
      </c>
      <c r="Q73">
        <v>1</v>
      </c>
      <c r="X73">
        <v>20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 t="s">
        <v>3</v>
      </c>
      <c r="AG73">
        <v>20</v>
      </c>
      <c r="AH73">
        <v>3</v>
      </c>
      <c r="AI73">
        <v>-1</v>
      </c>
      <c r="AJ73" t="s">
        <v>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ROW(Source!A52)</f>
        <v>52</v>
      </c>
      <c r="B74">
        <v>44962427</v>
      </c>
      <c r="C74">
        <v>44962409</v>
      </c>
      <c r="D74">
        <v>38719585</v>
      </c>
      <c r="E74">
        <v>30515945</v>
      </c>
      <c r="F74">
        <v>1</v>
      </c>
      <c r="G74">
        <v>30515945</v>
      </c>
      <c r="H74">
        <v>3</v>
      </c>
      <c r="I74" t="s">
        <v>612</v>
      </c>
      <c r="J74" t="s">
        <v>3</v>
      </c>
      <c r="K74" t="s">
        <v>613</v>
      </c>
      <c r="L74">
        <v>1348</v>
      </c>
      <c r="N74">
        <v>1009</v>
      </c>
      <c r="O74" t="s">
        <v>77</v>
      </c>
      <c r="P74" t="s">
        <v>77</v>
      </c>
      <c r="Q74">
        <v>1000</v>
      </c>
      <c r="X74">
        <v>0.84199999999999997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 t="s">
        <v>3</v>
      </c>
      <c r="AG74">
        <v>0.84199999999999997</v>
      </c>
      <c r="AH74">
        <v>3</v>
      </c>
      <c r="AI74">
        <v>-1</v>
      </c>
      <c r="AJ74" t="s">
        <v>3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ROW(Source!A55)</f>
        <v>55</v>
      </c>
      <c r="B75">
        <v>44962436</v>
      </c>
      <c r="C75">
        <v>44962430</v>
      </c>
      <c r="D75">
        <v>30515951</v>
      </c>
      <c r="E75">
        <v>30515945</v>
      </c>
      <c r="F75">
        <v>1</v>
      </c>
      <c r="G75">
        <v>30515945</v>
      </c>
      <c r="H75">
        <v>1</v>
      </c>
      <c r="I75" t="s">
        <v>388</v>
      </c>
      <c r="J75" t="s">
        <v>3</v>
      </c>
      <c r="K75" t="s">
        <v>389</v>
      </c>
      <c r="L75">
        <v>1191</v>
      </c>
      <c r="N75">
        <v>1013</v>
      </c>
      <c r="O75" t="s">
        <v>390</v>
      </c>
      <c r="P75" t="s">
        <v>390</v>
      </c>
      <c r="Q75">
        <v>1</v>
      </c>
      <c r="X75">
        <v>3.44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1</v>
      </c>
      <c r="AF75" t="s">
        <v>18</v>
      </c>
      <c r="AG75">
        <v>3.956</v>
      </c>
      <c r="AH75">
        <v>2</v>
      </c>
      <c r="AI75">
        <v>44962431</v>
      </c>
      <c r="AJ75">
        <v>78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ROW(Source!A55)</f>
        <v>55</v>
      </c>
      <c r="B76">
        <v>44962437</v>
      </c>
      <c r="C76">
        <v>44962430</v>
      </c>
      <c r="D76">
        <v>30596074</v>
      </c>
      <c r="E76">
        <v>1</v>
      </c>
      <c r="F76">
        <v>1</v>
      </c>
      <c r="G76">
        <v>30515945</v>
      </c>
      <c r="H76">
        <v>2</v>
      </c>
      <c r="I76" t="s">
        <v>391</v>
      </c>
      <c r="J76" t="s">
        <v>392</v>
      </c>
      <c r="K76" t="s">
        <v>393</v>
      </c>
      <c r="L76">
        <v>1367</v>
      </c>
      <c r="N76">
        <v>1011</v>
      </c>
      <c r="O76" t="s">
        <v>394</v>
      </c>
      <c r="P76" t="s">
        <v>394</v>
      </c>
      <c r="Q76">
        <v>1</v>
      </c>
      <c r="X76">
        <v>0.1</v>
      </c>
      <c r="Y76">
        <v>0</v>
      </c>
      <c r="Z76">
        <v>76.81</v>
      </c>
      <c r="AA76">
        <v>14.36</v>
      </c>
      <c r="AB76">
        <v>0</v>
      </c>
      <c r="AC76">
        <v>0</v>
      </c>
      <c r="AD76">
        <v>1</v>
      </c>
      <c r="AE76">
        <v>0</v>
      </c>
      <c r="AF76" t="s">
        <v>17</v>
      </c>
      <c r="AG76">
        <v>0.125</v>
      </c>
      <c r="AH76">
        <v>2</v>
      </c>
      <c r="AI76">
        <v>44962432</v>
      </c>
      <c r="AJ76">
        <v>79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ROW(Source!A55)</f>
        <v>55</v>
      </c>
      <c r="B77">
        <v>44962438</v>
      </c>
      <c r="C77">
        <v>44962430</v>
      </c>
      <c r="D77">
        <v>30596197</v>
      </c>
      <c r="E77">
        <v>1</v>
      </c>
      <c r="F77">
        <v>1</v>
      </c>
      <c r="G77">
        <v>30515945</v>
      </c>
      <c r="H77">
        <v>2</v>
      </c>
      <c r="I77" t="s">
        <v>395</v>
      </c>
      <c r="J77" t="s">
        <v>396</v>
      </c>
      <c r="K77" t="s">
        <v>397</v>
      </c>
      <c r="L77">
        <v>1367</v>
      </c>
      <c r="N77">
        <v>1011</v>
      </c>
      <c r="O77" t="s">
        <v>394</v>
      </c>
      <c r="P77" t="s">
        <v>394</v>
      </c>
      <c r="Q77">
        <v>1</v>
      </c>
      <c r="X77">
        <v>0.6</v>
      </c>
      <c r="Y77">
        <v>0</v>
      </c>
      <c r="Z77">
        <v>2.36</v>
      </c>
      <c r="AA77">
        <v>0.04</v>
      </c>
      <c r="AB77">
        <v>0</v>
      </c>
      <c r="AC77">
        <v>0</v>
      </c>
      <c r="AD77">
        <v>1</v>
      </c>
      <c r="AE77">
        <v>0</v>
      </c>
      <c r="AF77" t="s">
        <v>17</v>
      </c>
      <c r="AG77">
        <v>0.75</v>
      </c>
      <c r="AH77">
        <v>2</v>
      </c>
      <c r="AI77">
        <v>44962433</v>
      </c>
      <c r="AJ77">
        <v>80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ROW(Source!A55)</f>
        <v>55</v>
      </c>
      <c r="B78">
        <v>44962439</v>
      </c>
      <c r="C78">
        <v>44962430</v>
      </c>
      <c r="D78">
        <v>30571181</v>
      </c>
      <c r="E78">
        <v>1</v>
      </c>
      <c r="F78">
        <v>1</v>
      </c>
      <c r="G78">
        <v>30515945</v>
      </c>
      <c r="H78">
        <v>3</v>
      </c>
      <c r="I78" t="s">
        <v>441</v>
      </c>
      <c r="J78" t="s">
        <v>442</v>
      </c>
      <c r="K78" t="s">
        <v>443</v>
      </c>
      <c r="L78">
        <v>1339</v>
      </c>
      <c r="N78">
        <v>1007</v>
      </c>
      <c r="O78" t="s">
        <v>140</v>
      </c>
      <c r="P78" t="s">
        <v>140</v>
      </c>
      <c r="Q78">
        <v>1</v>
      </c>
      <c r="X78">
        <v>4.0399999999999998E-2</v>
      </c>
      <c r="Y78">
        <v>7.07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4.0399999999999998E-2</v>
      </c>
      <c r="AH78">
        <v>2</v>
      </c>
      <c r="AI78">
        <v>44962434</v>
      </c>
      <c r="AJ78">
        <v>81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ROW(Source!A55)</f>
        <v>55</v>
      </c>
      <c r="B79">
        <v>44962440</v>
      </c>
      <c r="C79">
        <v>44962430</v>
      </c>
      <c r="D79">
        <v>38719585</v>
      </c>
      <c r="E79">
        <v>30515945</v>
      </c>
      <c r="F79">
        <v>1</v>
      </c>
      <c r="G79">
        <v>30515945</v>
      </c>
      <c r="H79">
        <v>3</v>
      </c>
      <c r="I79" t="s">
        <v>612</v>
      </c>
      <c r="J79" t="s">
        <v>3</v>
      </c>
      <c r="K79" t="s">
        <v>613</v>
      </c>
      <c r="L79">
        <v>1348</v>
      </c>
      <c r="N79">
        <v>1009</v>
      </c>
      <c r="O79" t="s">
        <v>77</v>
      </c>
      <c r="P79" t="s">
        <v>77</v>
      </c>
      <c r="Q79">
        <v>1000</v>
      </c>
      <c r="X79">
        <v>0.16800000000000001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 t="s">
        <v>3</v>
      </c>
      <c r="AG79">
        <v>0.16800000000000001</v>
      </c>
      <c r="AH79">
        <v>3</v>
      </c>
      <c r="AI79">
        <v>-1</v>
      </c>
      <c r="AJ79" t="s">
        <v>3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ROW(Source!A57)</f>
        <v>57</v>
      </c>
      <c r="B80">
        <v>44962448</v>
      </c>
      <c r="C80">
        <v>44962442</v>
      </c>
      <c r="D80">
        <v>30515951</v>
      </c>
      <c r="E80">
        <v>30515945</v>
      </c>
      <c r="F80">
        <v>1</v>
      </c>
      <c r="G80">
        <v>30515945</v>
      </c>
      <c r="H80">
        <v>1</v>
      </c>
      <c r="I80" t="s">
        <v>388</v>
      </c>
      <c r="J80" t="s">
        <v>3</v>
      </c>
      <c r="K80" t="s">
        <v>389</v>
      </c>
      <c r="L80">
        <v>1191</v>
      </c>
      <c r="N80">
        <v>1013</v>
      </c>
      <c r="O80" t="s">
        <v>390</v>
      </c>
      <c r="P80" t="s">
        <v>390</v>
      </c>
      <c r="Q80">
        <v>1</v>
      </c>
      <c r="X80">
        <v>38.200000000000003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1</v>
      </c>
      <c r="AF80" t="s">
        <v>18</v>
      </c>
      <c r="AG80">
        <v>43.93</v>
      </c>
      <c r="AH80">
        <v>2</v>
      </c>
      <c r="AI80">
        <v>44962443</v>
      </c>
      <c r="AJ80">
        <v>83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ROW(Source!A57)</f>
        <v>57</v>
      </c>
      <c r="B81">
        <v>44962449</v>
      </c>
      <c r="C81">
        <v>44962442</v>
      </c>
      <c r="D81">
        <v>30516999</v>
      </c>
      <c r="E81">
        <v>30515945</v>
      </c>
      <c r="F81">
        <v>1</v>
      </c>
      <c r="G81">
        <v>30515945</v>
      </c>
      <c r="H81">
        <v>2</v>
      </c>
      <c r="I81" t="s">
        <v>438</v>
      </c>
      <c r="J81" t="s">
        <v>3</v>
      </c>
      <c r="K81" t="s">
        <v>439</v>
      </c>
      <c r="L81">
        <v>1344</v>
      </c>
      <c r="N81">
        <v>1008</v>
      </c>
      <c r="O81" t="s">
        <v>440</v>
      </c>
      <c r="P81" t="s">
        <v>440</v>
      </c>
      <c r="Q81">
        <v>1</v>
      </c>
      <c r="X81">
        <v>64.02</v>
      </c>
      <c r="Y81">
        <v>0</v>
      </c>
      <c r="Z81">
        <v>1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17</v>
      </c>
      <c r="AG81">
        <v>80.025000000000006</v>
      </c>
      <c r="AH81">
        <v>2</v>
      </c>
      <c r="AI81">
        <v>44962444</v>
      </c>
      <c r="AJ81">
        <v>84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ROW(Source!A57)</f>
        <v>57</v>
      </c>
      <c r="B82">
        <v>44962450</v>
      </c>
      <c r="C82">
        <v>44962442</v>
      </c>
      <c r="D82">
        <v>30552014</v>
      </c>
      <c r="E82">
        <v>30515945</v>
      </c>
      <c r="F82">
        <v>1</v>
      </c>
      <c r="G82">
        <v>30515945</v>
      </c>
      <c r="H82">
        <v>3</v>
      </c>
      <c r="I82" t="s">
        <v>614</v>
      </c>
      <c r="J82" t="s">
        <v>3</v>
      </c>
      <c r="K82" t="s">
        <v>615</v>
      </c>
      <c r="L82">
        <v>1348</v>
      </c>
      <c r="N82">
        <v>1009</v>
      </c>
      <c r="O82" t="s">
        <v>77</v>
      </c>
      <c r="P82" t="s">
        <v>77</v>
      </c>
      <c r="Q82">
        <v>1000</v>
      </c>
      <c r="X82">
        <v>4.6300000000000001E-2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 t="s">
        <v>3</v>
      </c>
      <c r="AG82">
        <v>4.6300000000000001E-2</v>
      </c>
      <c r="AH82">
        <v>3</v>
      </c>
      <c r="AI82">
        <v>-1</v>
      </c>
      <c r="AJ82" t="s">
        <v>3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ROW(Source!A57)</f>
        <v>57</v>
      </c>
      <c r="B83">
        <v>44962451</v>
      </c>
      <c r="C83">
        <v>44962442</v>
      </c>
      <c r="D83">
        <v>30531474</v>
      </c>
      <c r="E83">
        <v>30515945</v>
      </c>
      <c r="F83">
        <v>1</v>
      </c>
      <c r="G83">
        <v>30515945</v>
      </c>
      <c r="H83">
        <v>3</v>
      </c>
      <c r="I83" t="s">
        <v>616</v>
      </c>
      <c r="J83" t="s">
        <v>3</v>
      </c>
      <c r="K83" t="s">
        <v>617</v>
      </c>
      <c r="L83">
        <v>1327</v>
      </c>
      <c r="N83">
        <v>1005</v>
      </c>
      <c r="O83" t="s">
        <v>36</v>
      </c>
      <c r="P83" t="s">
        <v>36</v>
      </c>
      <c r="Q83">
        <v>1</v>
      </c>
      <c r="X83">
        <v>107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 t="s">
        <v>3</v>
      </c>
      <c r="AG83">
        <v>107</v>
      </c>
      <c r="AH83">
        <v>3</v>
      </c>
      <c r="AI83">
        <v>-1</v>
      </c>
      <c r="AJ83" t="s">
        <v>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ROW(Source!A57)</f>
        <v>57</v>
      </c>
      <c r="B84">
        <v>44962452</v>
      </c>
      <c r="C84">
        <v>44962442</v>
      </c>
      <c r="D84">
        <v>30541208</v>
      </c>
      <c r="E84">
        <v>30515945</v>
      </c>
      <c r="F84">
        <v>1</v>
      </c>
      <c r="G84">
        <v>30515945</v>
      </c>
      <c r="H84">
        <v>3</v>
      </c>
      <c r="I84" t="s">
        <v>453</v>
      </c>
      <c r="J84" t="s">
        <v>3</v>
      </c>
      <c r="K84" t="s">
        <v>454</v>
      </c>
      <c r="L84">
        <v>1344</v>
      </c>
      <c r="N84">
        <v>1008</v>
      </c>
      <c r="O84" t="s">
        <v>440</v>
      </c>
      <c r="P84" t="s">
        <v>440</v>
      </c>
      <c r="Q84">
        <v>1</v>
      </c>
      <c r="X84">
        <v>0.98</v>
      </c>
      <c r="Y84">
        <v>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0.98</v>
      </c>
      <c r="AH84">
        <v>2</v>
      </c>
      <c r="AI84">
        <v>44962445</v>
      </c>
      <c r="AJ84">
        <v>87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ROW(Source!A60)</f>
        <v>60</v>
      </c>
      <c r="B85">
        <v>44962460</v>
      </c>
      <c r="C85">
        <v>44962455</v>
      </c>
      <c r="D85">
        <v>30515951</v>
      </c>
      <c r="E85">
        <v>30515945</v>
      </c>
      <c r="F85">
        <v>1</v>
      </c>
      <c r="G85">
        <v>30515945</v>
      </c>
      <c r="H85">
        <v>1</v>
      </c>
      <c r="I85" t="s">
        <v>388</v>
      </c>
      <c r="J85" t="s">
        <v>3</v>
      </c>
      <c r="K85" t="s">
        <v>389</v>
      </c>
      <c r="L85">
        <v>1191</v>
      </c>
      <c r="N85">
        <v>1013</v>
      </c>
      <c r="O85" t="s">
        <v>390</v>
      </c>
      <c r="P85" t="s">
        <v>390</v>
      </c>
      <c r="Q85">
        <v>1</v>
      </c>
      <c r="X85">
        <v>8.99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1</v>
      </c>
      <c r="AF85" t="s">
        <v>18</v>
      </c>
      <c r="AG85">
        <v>10.3385</v>
      </c>
      <c r="AH85">
        <v>2</v>
      </c>
      <c r="AI85">
        <v>44962456</v>
      </c>
      <c r="AJ85">
        <v>88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ROW(Source!A60)</f>
        <v>60</v>
      </c>
      <c r="B86">
        <v>44962461</v>
      </c>
      <c r="C86">
        <v>44962455</v>
      </c>
      <c r="D86">
        <v>30516999</v>
      </c>
      <c r="E86">
        <v>30515945</v>
      </c>
      <c r="F86">
        <v>1</v>
      </c>
      <c r="G86">
        <v>30515945</v>
      </c>
      <c r="H86">
        <v>2</v>
      </c>
      <c r="I86" t="s">
        <v>438</v>
      </c>
      <c r="J86" t="s">
        <v>3</v>
      </c>
      <c r="K86" t="s">
        <v>439</v>
      </c>
      <c r="L86">
        <v>1344</v>
      </c>
      <c r="N86">
        <v>1008</v>
      </c>
      <c r="O86" t="s">
        <v>440</v>
      </c>
      <c r="P86" t="s">
        <v>440</v>
      </c>
      <c r="Q86">
        <v>1</v>
      </c>
      <c r="X86">
        <v>3.72</v>
      </c>
      <c r="Y86">
        <v>0</v>
      </c>
      <c r="Z86">
        <v>1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17</v>
      </c>
      <c r="AG86">
        <v>4.6500000000000004</v>
      </c>
      <c r="AH86">
        <v>2</v>
      </c>
      <c r="AI86">
        <v>44962457</v>
      </c>
      <c r="AJ86">
        <v>89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ROW(Source!A60)</f>
        <v>60</v>
      </c>
      <c r="B87">
        <v>44962462</v>
      </c>
      <c r="C87">
        <v>44962455</v>
      </c>
      <c r="D87">
        <v>30531817</v>
      </c>
      <c r="E87">
        <v>30515945</v>
      </c>
      <c r="F87">
        <v>1</v>
      </c>
      <c r="G87">
        <v>30515945</v>
      </c>
      <c r="H87">
        <v>3</v>
      </c>
      <c r="I87" t="s">
        <v>618</v>
      </c>
      <c r="J87" t="s">
        <v>3</v>
      </c>
      <c r="K87" t="s">
        <v>619</v>
      </c>
      <c r="L87">
        <v>1346</v>
      </c>
      <c r="N87">
        <v>1009</v>
      </c>
      <c r="O87" t="s">
        <v>55</v>
      </c>
      <c r="P87" t="s">
        <v>55</v>
      </c>
      <c r="Q87">
        <v>1</v>
      </c>
      <c r="X87">
        <v>5.15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 t="s">
        <v>3</v>
      </c>
      <c r="AG87">
        <v>5.15</v>
      </c>
      <c r="AH87">
        <v>3</v>
      </c>
      <c r="AI87">
        <v>-1</v>
      </c>
      <c r="AJ87" t="s">
        <v>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ROW(Source!A60)</f>
        <v>60</v>
      </c>
      <c r="B88">
        <v>44962463</v>
      </c>
      <c r="C88">
        <v>44962455</v>
      </c>
      <c r="D88">
        <v>30534873</v>
      </c>
      <c r="E88">
        <v>30515945</v>
      </c>
      <c r="F88">
        <v>1</v>
      </c>
      <c r="G88">
        <v>30515945</v>
      </c>
      <c r="H88">
        <v>3</v>
      </c>
      <c r="I88" t="s">
        <v>620</v>
      </c>
      <c r="J88" t="s">
        <v>3</v>
      </c>
      <c r="K88" t="s">
        <v>621</v>
      </c>
      <c r="L88">
        <v>1301</v>
      </c>
      <c r="N88">
        <v>1003</v>
      </c>
      <c r="O88" t="s">
        <v>26</v>
      </c>
      <c r="P88" t="s">
        <v>26</v>
      </c>
      <c r="Q88">
        <v>1</v>
      </c>
      <c r="X88">
        <v>101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 t="s">
        <v>3</v>
      </c>
      <c r="AG88">
        <v>101</v>
      </c>
      <c r="AH88">
        <v>3</v>
      </c>
      <c r="AI88">
        <v>-1</v>
      </c>
      <c r="AJ88" t="s">
        <v>3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ROW(Source!A63)</f>
        <v>63</v>
      </c>
      <c r="B89">
        <v>44964363</v>
      </c>
      <c r="C89">
        <v>44964358</v>
      </c>
      <c r="D89">
        <v>30515951</v>
      </c>
      <c r="E89">
        <v>30515945</v>
      </c>
      <c r="F89">
        <v>1</v>
      </c>
      <c r="G89">
        <v>30515945</v>
      </c>
      <c r="H89">
        <v>1</v>
      </c>
      <c r="I89" t="s">
        <v>388</v>
      </c>
      <c r="J89" t="s">
        <v>3</v>
      </c>
      <c r="K89" t="s">
        <v>389</v>
      </c>
      <c r="L89">
        <v>1191</v>
      </c>
      <c r="N89">
        <v>1013</v>
      </c>
      <c r="O89" t="s">
        <v>390</v>
      </c>
      <c r="P89" t="s">
        <v>390</v>
      </c>
      <c r="Q89">
        <v>1</v>
      </c>
      <c r="X89">
        <v>4.6500000000000004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1</v>
      </c>
      <c r="AF89" t="s">
        <v>18</v>
      </c>
      <c r="AG89">
        <v>5.3475000000000001</v>
      </c>
      <c r="AH89">
        <v>2</v>
      </c>
      <c r="AI89">
        <v>44964359</v>
      </c>
      <c r="AJ89">
        <v>92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ROW(Source!A63)</f>
        <v>63</v>
      </c>
      <c r="B90">
        <v>44964364</v>
      </c>
      <c r="C90">
        <v>44964358</v>
      </c>
      <c r="D90">
        <v>30596074</v>
      </c>
      <c r="E90">
        <v>1</v>
      </c>
      <c r="F90">
        <v>1</v>
      </c>
      <c r="G90">
        <v>30515945</v>
      </c>
      <c r="H90">
        <v>2</v>
      </c>
      <c r="I90" t="s">
        <v>391</v>
      </c>
      <c r="J90" t="s">
        <v>392</v>
      </c>
      <c r="K90" t="s">
        <v>393</v>
      </c>
      <c r="L90">
        <v>1367</v>
      </c>
      <c r="N90">
        <v>1011</v>
      </c>
      <c r="O90" t="s">
        <v>394</v>
      </c>
      <c r="P90" t="s">
        <v>394</v>
      </c>
      <c r="Q90">
        <v>1</v>
      </c>
      <c r="X90">
        <v>0.01</v>
      </c>
      <c r="Y90">
        <v>0</v>
      </c>
      <c r="Z90">
        <v>76.81</v>
      </c>
      <c r="AA90">
        <v>14.36</v>
      </c>
      <c r="AB90">
        <v>0</v>
      </c>
      <c r="AC90">
        <v>0</v>
      </c>
      <c r="AD90">
        <v>1</v>
      </c>
      <c r="AE90">
        <v>0</v>
      </c>
      <c r="AF90" t="s">
        <v>17</v>
      </c>
      <c r="AG90">
        <v>1.2500000000000001E-2</v>
      </c>
      <c r="AH90">
        <v>2</v>
      </c>
      <c r="AI90">
        <v>44964360</v>
      </c>
      <c r="AJ90">
        <v>93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ROW(Source!A63)</f>
        <v>63</v>
      </c>
      <c r="B91">
        <v>44964365</v>
      </c>
      <c r="C91">
        <v>44964358</v>
      </c>
      <c r="D91">
        <v>30596185</v>
      </c>
      <c r="E91">
        <v>1</v>
      </c>
      <c r="F91">
        <v>1</v>
      </c>
      <c r="G91">
        <v>30515945</v>
      </c>
      <c r="H91">
        <v>2</v>
      </c>
      <c r="I91" t="s">
        <v>435</v>
      </c>
      <c r="J91" t="s">
        <v>436</v>
      </c>
      <c r="K91" t="s">
        <v>437</v>
      </c>
      <c r="L91">
        <v>1367</v>
      </c>
      <c r="N91">
        <v>1011</v>
      </c>
      <c r="O91" t="s">
        <v>394</v>
      </c>
      <c r="P91" t="s">
        <v>394</v>
      </c>
      <c r="Q91">
        <v>1</v>
      </c>
      <c r="X91">
        <v>0.03</v>
      </c>
      <c r="Y91">
        <v>0</v>
      </c>
      <c r="Z91">
        <v>1.76</v>
      </c>
      <c r="AA91">
        <v>0.01</v>
      </c>
      <c r="AB91">
        <v>0</v>
      </c>
      <c r="AC91">
        <v>0</v>
      </c>
      <c r="AD91">
        <v>1</v>
      </c>
      <c r="AE91">
        <v>0</v>
      </c>
      <c r="AF91" t="s">
        <v>17</v>
      </c>
      <c r="AG91">
        <v>3.7499999999999999E-2</v>
      </c>
      <c r="AH91">
        <v>2</v>
      </c>
      <c r="AI91">
        <v>44964361</v>
      </c>
      <c r="AJ91">
        <v>94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ROW(Source!A63)</f>
        <v>63</v>
      </c>
      <c r="B92">
        <v>44964366</v>
      </c>
      <c r="C92">
        <v>44964358</v>
      </c>
      <c r="D92">
        <v>30534268</v>
      </c>
      <c r="E92">
        <v>30515945</v>
      </c>
      <c r="F92">
        <v>1</v>
      </c>
      <c r="G92">
        <v>30515945</v>
      </c>
      <c r="H92">
        <v>3</v>
      </c>
      <c r="I92" t="s">
        <v>595</v>
      </c>
      <c r="J92" t="s">
        <v>3</v>
      </c>
      <c r="K92" t="s">
        <v>596</v>
      </c>
      <c r="L92">
        <v>1346</v>
      </c>
      <c r="N92">
        <v>1009</v>
      </c>
      <c r="O92" t="s">
        <v>55</v>
      </c>
      <c r="P92" t="s">
        <v>55</v>
      </c>
      <c r="Q92">
        <v>1</v>
      </c>
      <c r="X92">
        <v>10.3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 t="s">
        <v>3</v>
      </c>
      <c r="AG92">
        <v>10.3</v>
      </c>
      <c r="AH92">
        <v>3</v>
      </c>
      <c r="AI92">
        <v>-1</v>
      </c>
      <c r="AJ92" t="s">
        <v>3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ROW(Source!A65)</f>
        <v>65</v>
      </c>
      <c r="B93">
        <v>44963667</v>
      </c>
      <c r="C93">
        <v>44963657</v>
      </c>
      <c r="D93">
        <v>30515951</v>
      </c>
      <c r="E93">
        <v>30515945</v>
      </c>
      <c r="F93">
        <v>1</v>
      </c>
      <c r="G93">
        <v>30515945</v>
      </c>
      <c r="H93">
        <v>1</v>
      </c>
      <c r="I93" t="s">
        <v>388</v>
      </c>
      <c r="J93" t="s">
        <v>3</v>
      </c>
      <c r="K93" t="s">
        <v>389</v>
      </c>
      <c r="L93">
        <v>1191</v>
      </c>
      <c r="N93">
        <v>1013</v>
      </c>
      <c r="O93" t="s">
        <v>390</v>
      </c>
      <c r="P93" t="s">
        <v>390</v>
      </c>
      <c r="Q93">
        <v>1</v>
      </c>
      <c r="X93">
        <v>84.08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1</v>
      </c>
      <c r="AF93" t="s">
        <v>18</v>
      </c>
      <c r="AG93">
        <v>96.691999999999993</v>
      </c>
      <c r="AH93">
        <v>2</v>
      </c>
      <c r="AI93">
        <v>44963658</v>
      </c>
      <c r="AJ93">
        <v>96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ROW(Source!A65)</f>
        <v>65</v>
      </c>
      <c r="B94">
        <v>44963668</v>
      </c>
      <c r="C94">
        <v>44963657</v>
      </c>
      <c r="D94">
        <v>30596108</v>
      </c>
      <c r="E94">
        <v>1</v>
      </c>
      <c r="F94">
        <v>1</v>
      </c>
      <c r="G94">
        <v>30515945</v>
      </c>
      <c r="H94">
        <v>2</v>
      </c>
      <c r="I94" t="s">
        <v>488</v>
      </c>
      <c r="J94" t="s">
        <v>489</v>
      </c>
      <c r="K94" t="s">
        <v>490</v>
      </c>
      <c r="L94">
        <v>1367</v>
      </c>
      <c r="N94">
        <v>1011</v>
      </c>
      <c r="O94" t="s">
        <v>394</v>
      </c>
      <c r="P94" t="s">
        <v>394</v>
      </c>
      <c r="Q94">
        <v>1</v>
      </c>
      <c r="X94">
        <v>27.09</v>
      </c>
      <c r="Y94">
        <v>0</v>
      </c>
      <c r="Z94">
        <v>2.36</v>
      </c>
      <c r="AA94">
        <v>0.1</v>
      </c>
      <c r="AB94">
        <v>0</v>
      </c>
      <c r="AC94">
        <v>0</v>
      </c>
      <c r="AD94">
        <v>1</v>
      </c>
      <c r="AE94">
        <v>0</v>
      </c>
      <c r="AF94" t="s">
        <v>17</v>
      </c>
      <c r="AG94">
        <v>33.862499999999997</v>
      </c>
      <c r="AH94">
        <v>2</v>
      </c>
      <c r="AI94">
        <v>44963659</v>
      </c>
      <c r="AJ94">
        <v>97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ROW(Source!A65)</f>
        <v>65</v>
      </c>
      <c r="B95">
        <v>44963669</v>
      </c>
      <c r="C95">
        <v>44963657</v>
      </c>
      <c r="D95">
        <v>30596170</v>
      </c>
      <c r="E95">
        <v>1</v>
      </c>
      <c r="F95">
        <v>1</v>
      </c>
      <c r="G95">
        <v>30515945</v>
      </c>
      <c r="H95">
        <v>2</v>
      </c>
      <c r="I95" t="s">
        <v>491</v>
      </c>
      <c r="J95" t="s">
        <v>492</v>
      </c>
      <c r="K95" t="s">
        <v>493</v>
      </c>
      <c r="L95">
        <v>1367</v>
      </c>
      <c r="N95">
        <v>1011</v>
      </c>
      <c r="O95" t="s">
        <v>394</v>
      </c>
      <c r="P95" t="s">
        <v>394</v>
      </c>
      <c r="Q95">
        <v>1</v>
      </c>
      <c r="X95">
        <v>0.31</v>
      </c>
      <c r="Y95">
        <v>0</v>
      </c>
      <c r="Z95">
        <v>31.85</v>
      </c>
      <c r="AA95">
        <v>14.89</v>
      </c>
      <c r="AB95">
        <v>0</v>
      </c>
      <c r="AC95">
        <v>0</v>
      </c>
      <c r="AD95">
        <v>1</v>
      </c>
      <c r="AE95">
        <v>0</v>
      </c>
      <c r="AF95" t="s">
        <v>17</v>
      </c>
      <c r="AG95">
        <v>0.38750000000000001</v>
      </c>
      <c r="AH95">
        <v>2</v>
      </c>
      <c r="AI95">
        <v>44963660</v>
      </c>
      <c r="AJ95">
        <v>98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ROW(Source!A65)</f>
        <v>65</v>
      </c>
      <c r="B96">
        <v>44963670</v>
      </c>
      <c r="C96">
        <v>44963657</v>
      </c>
      <c r="D96">
        <v>30516999</v>
      </c>
      <c r="E96">
        <v>30515945</v>
      </c>
      <c r="F96">
        <v>1</v>
      </c>
      <c r="G96">
        <v>30515945</v>
      </c>
      <c r="H96">
        <v>2</v>
      </c>
      <c r="I96" t="s">
        <v>438</v>
      </c>
      <c r="J96" t="s">
        <v>3</v>
      </c>
      <c r="K96" t="s">
        <v>439</v>
      </c>
      <c r="L96">
        <v>1344</v>
      </c>
      <c r="N96">
        <v>1008</v>
      </c>
      <c r="O96" t="s">
        <v>440</v>
      </c>
      <c r="P96" t="s">
        <v>440</v>
      </c>
      <c r="Q96">
        <v>1</v>
      </c>
      <c r="X96">
        <v>25.96</v>
      </c>
      <c r="Y96">
        <v>0</v>
      </c>
      <c r="Z96">
        <v>1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17</v>
      </c>
      <c r="AG96">
        <v>32.450000000000003</v>
      </c>
      <c r="AH96">
        <v>2</v>
      </c>
      <c r="AI96">
        <v>44963661</v>
      </c>
      <c r="AJ96">
        <v>99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ROW(Source!A65)</f>
        <v>65</v>
      </c>
      <c r="B97">
        <v>44963671</v>
      </c>
      <c r="C97">
        <v>44963657</v>
      </c>
      <c r="D97">
        <v>30571181</v>
      </c>
      <c r="E97">
        <v>1</v>
      </c>
      <c r="F97">
        <v>1</v>
      </c>
      <c r="G97">
        <v>30515945</v>
      </c>
      <c r="H97">
        <v>3</v>
      </c>
      <c r="I97" t="s">
        <v>441</v>
      </c>
      <c r="J97" t="s">
        <v>442</v>
      </c>
      <c r="K97" t="s">
        <v>443</v>
      </c>
      <c r="L97">
        <v>1339</v>
      </c>
      <c r="N97">
        <v>1007</v>
      </c>
      <c r="O97" t="s">
        <v>140</v>
      </c>
      <c r="P97" t="s">
        <v>140</v>
      </c>
      <c r="Q97">
        <v>1</v>
      </c>
      <c r="X97">
        <v>0.13300000000000001</v>
      </c>
      <c r="Y97">
        <v>7.07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0.13300000000000001</v>
      </c>
      <c r="AH97">
        <v>2</v>
      </c>
      <c r="AI97">
        <v>44963662</v>
      </c>
      <c r="AJ97">
        <v>100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ROW(Source!A65)</f>
        <v>65</v>
      </c>
      <c r="B98">
        <v>44963672</v>
      </c>
      <c r="C98">
        <v>44963657</v>
      </c>
      <c r="D98">
        <v>30573294</v>
      </c>
      <c r="E98">
        <v>1</v>
      </c>
      <c r="F98">
        <v>1</v>
      </c>
      <c r="G98">
        <v>30515945</v>
      </c>
      <c r="H98">
        <v>3</v>
      </c>
      <c r="I98" t="s">
        <v>494</v>
      </c>
      <c r="J98" t="s">
        <v>495</v>
      </c>
      <c r="K98" t="s">
        <v>496</v>
      </c>
      <c r="L98">
        <v>1348</v>
      </c>
      <c r="N98">
        <v>1009</v>
      </c>
      <c r="O98" t="s">
        <v>77</v>
      </c>
      <c r="P98" t="s">
        <v>77</v>
      </c>
      <c r="Q98">
        <v>1000</v>
      </c>
      <c r="X98">
        <v>0.01</v>
      </c>
      <c r="Y98">
        <v>69883.649999999994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44963663</v>
      </c>
      <c r="AJ98">
        <v>101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ROW(Source!A65)</f>
        <v>65</v>
      </c>
      <c r="B99">
        <v>44963673</v>
      </c>
      <c r="C99">
        <v>44963657</v>
      </c>
      <c r="D99">
        <v>30531792</v>
      </c>
      <c r="E99">
        <v>30515945</v>
      </c>
      <c r="F99">
        <v>1</v>
      </c>
      <c r="G99">
        <v>30515945</v>
      </c>
      <c r="H99">
        <v>3</v>
      </c>
      <c r="I99" t="s">
        <v>622</v>
      </c>
      <c r="J99" t="s">
        <v>3</v>
      </c>
      <c r="K99" t="s">
        <v>623</v>
      </c>
      <c r="L99">
        <v>1348</v>
      </c>
      <c r="N99">
        <v>1009</v>
      </c>
      <c r="O99" t="s">
        <v>77</v>
      </c>
      <c r="P99" t="s">
        <v>77</v>
      </c>
      <c r="Q99">
        <v>1000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 t="s">
        <v>3</v>
      </c>
      <c r="AG99">
        <v>0</v>
      </c>
      <c r="AH99">
        <v>3</v>
      </c>
      <c r="AI99">
        <v>-1</v>
      </c>
      <c r="AJ99" t="s">
        <v>3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ROW(Source!A65)</f>
        <v>65</v>
      </c>
      <c r="B100">
        <v>44963674</v>
      </c>
      <c r="C100">
        <v>44963657</v>
      </c>
      <c r="D100">
        <v>30533618</v>
      </c>
      <c r="E100">
        <v>30515945</v>
      </c>
      <c r="F100">
        <v>1</v>
      </c>
      <c r="G100">
        <v>30515945</v>
      </c>
      <c r="H100">
        <v>3</v>
      </c>
      <c r="I100" t="s">
        <v>624</v>
      </c>
      <c r="J100" t="s">
        <v>3</v>
      </c>
      <c r="K100" t="s">
        <v>625</v>
      </c>
      <c r="L100">
        <v>1348</v>
      </c>
      <c r="N100">
        <v>1009</v>
      </c>
      <c r="O100" t="s">
        <v>77</v>
      </c>
      <c r="P100" t="s">
        <v>77</v>
      </c>
      <c r="Q100">
        <v>1000</v>
      </c>
      <c r="X100">
        <v>0.47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 t="s">
        <v>3</v>
      </c>
      <c r="AG100">
        <v>0.47</v>
      </c>
      <c r="AH100">
        <v>3</v>
      </c>
      <c r="AI100">
        <v>-1</v>
      </c>
      <c r="AJ100" t="s">
        <v>3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ROW(Source!A65)</f>
        <v>65</v>
      </c>
      <c r="B101">
        <v>44963675</v>
      </c>
      <c r="C101">
        <v>44963657</v>
      </c>
      <c r="D101">
        <v>30531783</v>
      </c>
      <c r="E101">
        <v>30515945</v>
      </c>
      <c r="F101">
        <v>1</v>
      </c>
      <c r="G101">
        <v>30515945</v>
      </c>
      <c r="H101">
        <v>3</v>
      </c>
      <c r="I101" t="s">
        <v>626</v>
      </c>
      <c r="J101" t="s">
        <v>3</v>
      </c>
      <c r="K101" t="s">
        <v>627</v>
      </c>
      <c r="L101">
        <v>1327</v>
      </c>
      <c r="N101">
        <v>1005</v>
      </c>
      <c r="O101" t="s">
        <v>36</v>
      </c>
      <c r="P101" t="s">
        <v>36</v>
      </c>
      <c r="Q101">
        <v>1</v>
      </c>
      <c r="X101">
        <v>102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 t="s">
        <v>3</v>
      </c>
      <c r="AG101">
        <v>102</v>
      </c>
      <c r="AH101">
        <v>3</v>
      </c>
      <c r="AI101">
        <v>-1</v>
      </c>
      <c r="AJ101" t="s">
        <v>3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ROW(Source!A69)</f>
        <v>69</v>
      </c>
      <c r="B102">
        <v>44964353</v>
      </c>
      <c r="C102">
        <v>44964348</v>
      </c>
      <c r="D102">
        <v>30515951</v>
      </c>
      <c r="E102">
        <v>30515945</v>
      </c>
      <c r="F102">
        <v>1</v>
      </c>
      <c r="G102">
        <v>30515945</v>
      </c>
      <c r="H102">
        <v>1</v>
      </c>
      <c r="I102" t="s">
        <v>388</v>
      </c>
      <c r="J102" t="s">
        <v>3</v>
      </c>
      <c r="K102" t="s">
        <v>389</v>
      </c>
      <c r="L102">
        <v>1191</v>
      </c>
      <c r="N102">
        <v>1013</v>
      </c>
      <c r="O102" t="s">
        <v>390</v>
      </c>
      <c r="P102" t="s">
        <v>390</v>
      </c>
      <c r="Q102">
        <v>1</v>
      </c>
      <c r="X102">
        <v>4.6500000000000004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1</v>
      </c>
      <c r="AF102" t="s">
        <v>18</v>
      </c>
      <c r="AG102">
        <v>5.3475000000000001</v>
      </c>
      <c r="AH102">
        <v>2</v>
      </c>
      <c r="AI102">
        <v>44964349</v>
      </c>
      <c r="AJ102">
        <v>105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ROW(Source!A69)</f>
        <v>69</v>
      </c>
      <c r="B103">
        <v>44964354</v>
      </c>
      <c r="C103">
        <v>44964348</v>
      </c>
      <c r="D103">
        <v>30596074</v>
      </c>
      <c r="E103">
        <v>1</v>
      </c>
      <c r="F103">
        <v>1</v>
      </c>
      <c r="G103">
        <v>30515945</v>
      </c>
      <c r="H103">
        <v>2</v>
      </c>
      <c r="I103" t="s">
        <v>391</v>
      </c>
      <c r="J103" t="s">
        <v>392</v>
      </c>
      <c r="K103" t="s">
        <v>393</v>
      </c>
      <c r="L103">
        <v>1367</v>
      </c>
      <c r="N103">
        <v>1011</v>
      </c>
      <c r="O103" t="s">
        <v>394</v>
      </c>
      <c r="P103" t="s">
        <v>394</v>
      </c>
      <c r="Q103">
        <v>1</v>
      </c>
      <c r="X103">
        <v>0.01</v>
      </c>
      <c r="Y103">
        <v>0</v>
      </c>
      <c r="Z103">
        <v>76.81</v>
      </c>
      <c r="AA103">
        <v>14.36</v>
      </c>
      <c r="AB103">
        <v>0</v>
      </c>
      <c r="AC103">
        <v>0</v>
      </c>
      <c r="AD103">
        <v>1</v>
      </c>
      <c r="AE103">
        <v>0</v>
      </c>
      <c r="AF103" t="s">
        <v>17</v>
      </c>
      <c r="AG103">
        <v>1.2500000000000001E-2</v>
      </c>
      <c r="AH103">
        <v>2</v>
      </c>
      <c r="AI103">
        <v>44964350</v>
      </c>
      <c r="AJ103">
        <v>106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ROW(Source!A69)</f>
        <v>69</v>
      </c>
      <c r="B104">
        <v>44964355</v>
      </c>
      <c r="C104">
        <v>44964348</v>
      </c>
      <c r="D104">
        <v>30596185</v>
      </c>
      <c r="E104">
        <v>1</v>
      </c>
      <c r="F104">
        <v>1</v>
      </c>
      <c r="G104">
        <v>30515945</v>
      </c>
      <c r="H104">
        <v>2</v>
      </c>
      <c r="I104" t="s">
        <v>435</v>
      </c>
      <c r="J104" t="s">
        <v>436</v>
      </c>
      <c r="K104" t="s">
        <v>437</v>
      </c>
      <c r="L104">
        <v>1367</v>
      </c>
      <c r="N104">
        <v>1011</v>
      </c>
      <c r="O104" t="s">
        <v>394</v>
      </c>
      <c r="P104" t="s">
        <v>394</v>
      </c>
      <c r="Q104">
        <v>1</v>
      </c>
      <c r="X104">
        <v>0.03</v>
      </c>
      <c r="Y104">
        <v>0</v>
      </c>
      <c r="Z104">
        <v>1.76</v>
      </c>
      <c r="AA104">
        <v>0.01</v>
      </c>
      <c r="AB104">
        <v>0</v>
      </c>
      <c r="AC104">
        <v>0</v>
      </c>
      <c r="AD104">
        <v>1</v>
      </c>
      <c r="AE104">
        <v>0</v>
      </c>
      <c r="AF104" t="s">
        <v>17</v>
      </c>
      <c r="AG104">
        <v>3.7499999999999999E-2</v>
      </c>
      <c r="AH104">
        <v>2</v>
      </c>
      <c r="AI104">
        <v>44964351</v>
      </c>
      <c r="AJ104">
        <v>107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ROW(Source!A69)</f>
        <v>69</v>
      </c>
      <c r="B105">
        <v>44964356</v>
      </c>
      <c r="C105">
        <v>44964348</v>
      </c>
      <c r="D105">
        <v>30534268</v>
      </c>
      <c r="E105">
        <v>30515945</v>
      </c>
      <c r="F105">
        <v>1</v>
      </c>
      <c r="G105">
        <v>30515945</v>
      </c>
      <c r="H105">
        <v>3</v>
      </c>
      <c r="I105" t="s">
        <v>595</v>
      </c>
      <c r="J105" t="s">
        <v>3</v>
      </c>
      <c r="K105" t="s">
        <v>596</v>
      </c>
      <c r="L105">
        <v>1346</v>
      </c>
      <c r="N105">
        <v>1009</v>
      </c>
      <c r="O105" t="s">
        <v>55</v>
      </c>
      <c r="P105" t="s">
        <v>55</v>
      </c>
      <c r="Q105">
        <v>1</v>
      </c>
      <c r="X105">
        <v>10.3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 t="s">
        <v>3</v>
      </c>
      <c r="AG105">
        <v>10.3</v>
      </c>
      <c r="AH105">
        <v>3</v>
      </c>
      <c r="AI105">
        <v>-1</v>
      </c>
      <c r="AJ105" t="s">
        <v>3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ROW(Source!A71)</f>
        <v>71</v>
      </c>
      <c r="B106">
        <v>44964313</v>
      </c>
      <c r="C106">
        <v>44964312</v>
      </c>
      <c r="D106">
        <v>30515951</v>
      </c>
      <c r="E106">
        <v>30515945</v>
      </c>
      <c r="F106">
        <v>1</v>
      </c>
      <c r="G106">
        <v>30515945</v>
      </c>
      <c r="H106">
        <v>1</v>
      </c>
      <c r="I106" t="s">
        <v>388</v>
      </c>
      <c r="J106" t="s">
        <v>3</v>
      </c>
      <c r="K106" t="s">
        <v>389</v>
      </c>
      <c r="L106">
        <v>1191</v>
      </c>
      <c r="N106">
        <v>1013</v>
      </c>
      <c r="O106" t="s">
        <v>390</v>
      </c>
      <c r="P106" t="s">
        <v>390</v>
      </c>
      <c r="Q106">
        <v>1</v>
      </c>
      <c r="X106">
        <v>115.26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1</v>
      </c>
      <c r="AF106" t="s">
        <v>18</v>
      </c>
      <c r="AG106">
        <v>132.54900000000001</v>
      </c>
      <c r="AH106">
        <v>2</v>
      </c>
      <c r="AI106">
        <v>44964313</v>
      </c>
      <c r="AJ106">
        <v>109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ROW(Source!A71)</f>
        <v>71</v>
      </c>
      <c r="B107">
        <v>44964314</v>
      </c>
      <c r="C107">
        <v>44964312</v>
      </c>
      <c r="D107">
        <v>30596108</v>
      </c>
      <c r="E107">
        <v>1</v>
      </c>
      <c r="F107">
        <v>1</v>
      </c>
      <c r="G107">
        <v>30515945</v>
      </c>
      <c r="H107">
        <v>2</v>
      </c>
      <c r="I107" t="s">
        <v>488</v>
      </c>
      <c r="J107" t="s">
        <v>489</v>
      </c>
      <c r="K107" t="s">
        <v>490</v>
      </c>
      <c r="L107">
        <v>1367</v>
      </c>
      <c r="N107">
        <v>1011</v>
      </c>
      <c r="O107" t="s">
        <v>394</v>
      </c>
      <c r="P107" t="s">
        <v>394</v>
      </c>
      <c r="Q107">
        <v>1</v>
      </c>
      <c r="X107">
        <v>1.35</v>
      </c>
      <c r="Y107">
        <v>0</v>
      </c>
      <c r="Z107">
        <v>2.36</v>
      </c>
      <c r="AA107">
        <v>0.1</v>
      </c>
      <c r="AB107">
        <v>0</v>
      </c>
      <c r="AC107">
        <v>0</v>
      </c>
      <c r="AD107">
        <v>1</v>
      </c>
      <c r="AE107">
        <v>0</v>
      </c>
      <c r="AF107" t="s">
        <v>17</v>
      </c>
      <c r="AG107">
        <v>1.6875</v>
      </c>
      <c r="AH107">
        <v>2</v>
      </c>
      <c r="AI107">
        <v>44964314</v>
      </c>
      <c r="AJ107">
        <v>110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ROW(Source!A71)</f>
        <v>71</v>
      </c>
      <c r="B108">
        <v>44964315</v>
      </c>
      <c r="C108">
        <v>44964312</v>
      </c>
      <c r="D108">
        <v>30516999</v>
      </c>
      <c r="E108">
        <v>30515945</v>
      </c>
      <c r="F108">
        <v>1</v>
      </c>
      <c r="G108">
        <v>30515945</v>
      </c>
      <c r="H108">
        <v>2</v>
      </c>
      <c r="I108" t="s">
        <v>438</v>
      </c>
      <c r="J108" t="s">
        <v>3</v>
      </c>
      <c r="K108" t="s">
        <v>439</v>
      </c>
      <c r="L108">
        <v>1344</v>
      </c>
      <c r="N108">
        <v>1008</v>
      </c>
      <c r="O108" t="s">
        <v>440</v>
      </c>
      <c r="P108" t="s">
        <v>440</v>
      </c>
      <c r="Q108">
        <v>1</v>
      </c>
      <c r="X108">
        <v>18.53</v>
      </c>
      <c r="Y108">
        <v>0</v>
      </c>
      <c r="Z108">
        <v>1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17</v>
      </c>
      <c r="AG108">
        <v>23.162500000000001</v>
      </c>
      <c r="AH108">
        <v>2</v>
      </c>
      <c r="AI108">
        <v>44964315</v>
      </c>
      <c r="AJ108">
        <v>111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ROW(Source!A71)</f>
        <v>71</v>
      </c>
      <c r="B109">
        <v>44964316</v>
      </c>
      <c r="C109">
        <v>44964312</v>
      </c>
      <c r="D109">
        <v>30571178</v>
      </c>
      <c r="E109">
        <v>1</v>
      </c>
      <c r="F109">
        <v>1</v>
      </c>
      <c r="G109">
        <v>30515945</v>
      </c>
      <c r="H109">
        <v>3</v>
      </c>
      <c r="I109" t="s">
        <v>497</v>
      </c>
      <c r="J109" t="s">
        <v>498</v>
      </c>
      <c r="K109" t="s">
        <v>499</v>
      </c>
      <c r="L109">
        <v>1346</v>
      </c>
      <c r="N109">
        <v>1009</v>
      </c>
      <c r="O109" t="s">
        <v>55</v>
      </c>
      <c r="P109" t="s">
        <v>55</v>
      </c>
      <c r="Q109">
        <v>1</v>
      </c>
      <c r="X109">
        <v>0.5</v>
      </c>
      <c r="Y109">
        <v>1.61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0.5</v>
      </c>
      <c r="AH109">
        <v>2</v>
      </c>
      <c r="AI109">
        <v>44964316</v>
      </c>
      <c r="AJ109">
        <v>112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ROW(Source!A71)</f>
        <v>71</v>
      </c>
      <c r="B110">
        <v>44964317</v>
      </c>
      <c r="C110">
        <v>44964312</v>
      </c>
      <c r="D110">
        <v>30571181</v>
      </c>
      <c r="E110">
        <v>1</v>
      </c>
      <c r="F110">
        <v>1</v>
      </c>
      <c r="G110">
        <v>30515945</v>
      </c>
      <c r="H110">
        <v>3</v>
      </c>
      <c r="I110" t="s">
        <v>441</v>
      </c>
      <c r="J110" t="s">
        <v>442</v>
      </c>
      <c r="K110" t="s">
        <v>443</v>
      </c>
      <c r="L110">
        <v>1339</v>
      </c>
      <c r="N110">
        <v>1007</v>
      </c>
      <c r="O110" t="s">
        <v>140</v>
      </c>
      <c r="P110" t="s">
        <v>140</v>
      </c>
      <c r="Q110">
        <v>1</v>
      </c>
      <c r="X110">
        <v>8.5000000000000006E-2</v>
      </c>
      <c r="Y110">
        <v>7.07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8.5000000000000006E-2</v>
      </c>
      <c r="AH110">
        <v>2</v>
      </c>
      <c r="AI110">
        <v>44964317</v>
      </c>
      <c r="AJ110">
        <v>113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ROW(Source!A71)</f>
        <v>71</v>
      </c>
      <c r="B111">
        <v>44964318</v>
      </c>
      <c r="C111">
        <v>44964312</v>
      </c>
      <c r="D111">
        <v>30571239</v>
      </c>
      <c r="E111">
        <v>1</v>
      </c>
      <c r="F111">
        <v>1</v>
      </c>
      <c r="G111">
        <v>30515945</v>
      </c>
      <c r="H111">
        <v>3</v>
      </c>
      <c r="I111" t="s">
        <v>500</v>
      </c>
      <c r="J111" t="s">
        <v>501</v>
      </c>
      <c r="K111" t="s">
        <v>502</v>
      </c>
      <c r="L111">
        <v>1348</v>
      </c>
      <c r="N111">
        <v>1009</v>
      </c>
      <c r="O111" t="s">
        <v>77</v>
      </c>
      <c r="P111" t="s">
        <v>77</v>
      </c>
      <c r="Q111">
        <v>1000</v>
      </c>
      <c r="X111">
        <v>2.0999999999999999E-3</v>
      </c>
      <c r="Y111">
        <v>39052.85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2.0999999999999999E-3</v>
      </c>
      <c r="AH111">
        <v>2</v>
      </c>
      <c r="AI111">
        <v>44964318</v>
      </c>
      <c r="AJ111">
        <v>114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ROW(Source!A71)</f>
        <v>71</v>
      </c>
      <c r="B112">
        <v>44964319</v>
      </c>
      <c r="C112">
        <v>44964312</v>
      </c>
      <c r="D112">
        <v>30533538</v>
      </c>
      <c r="E112">
        <v>30515945</v>
      </c>
      <c r="F112">
        <v>1</v>
      </c>
      <c r="G112">
        <v>30515945</v>
      </c>
      <c r="H112">
        <v>3</v>
      </c>
      <c r="I112" t="s">
        <v>622</v>
      </c>
      <c r="J112" t="s">
        <v>3</v>
      </c>
      <c r="K112" t="s">
        <v>628</v>
      </c>
      <c r="L112">
        <v>1348</v>
      </c>
      <c r="N112">
        <v>1009</v>
      </c>
      <c r="O112" t="s">
        <v>77</v>
      </c>
      <c r="P112" t="s">
        <v>77</v>
      </c>
      <c r="Q112">
        <v>1000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 t="s">
        <v>3</v>
      </c>
      <c r="AG112">
        <v>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ROW(Source!A71)</f>
        <v>71</v>
      </c>
      <c r="B113">
        <v>44964320</v>
      </c>
      <c r="C113">
        <v>44964312</v>
      </c>
      <c r="D113">
        <v>30536474</v>
      </c>
      <c r="E113">
        <v>30515945</v>
      </c>
      <c r="F113">
        <v>1</v>
      </c>
      <c r="G113">
        <v>30515945</v>
      </c>
      <c r="H113">
        <v>3</v>
      </c>
      <c r="I113" t="s">
        <v>624</v>
      </c>
      <c r="J113" t="s">
        <v>3</v>
      </c>
      <c r="K113" t="s">
        <v>629</v>
      </c>
      <c r="L113">
        <v>1348</v>
      </c>
      <c r="N113">
        <v>1009</v>
      </c>
      <c r="O113" t="s">
        <v>77</v>
      </c>
      <c r="P113" t="s">
        <v>77</v>
      </c>
      <c r="Q113">
        <v>1000</v>
      </c>
      <c r="X113">
        <v>0.375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 t="s">
        <v>3</v>
      </c>
      <c r="AG113">
        <v>0.375</v>
      </c>
      <c r="AH113">
        <v>3</v>
      </c>
      <c r="AI113">
        <v>-1</v>
      </c>
      <c r="AJ113" t="s">
        <v>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ROW(Source!A71)</f>
        <v>71</v>
      </c>
      <c r="B114">
        <v>44964321</v>
      </c>
      <c r="C114">
        <v>44964312</v>
      </c>
      <c r="D114">
        <v>30536594</v>
      </c>
      <c r="E114">
        <v>30515945</v>
      </c>
      <c r="F114">
        <v>1</v>
      </c>
      <c r="G114">
        <v>30515945</v>
      </c>
      <c r="H114">
        <v>3</v>
      </c>
      <c r="I114" t="s">
        <v>630</v>
      </c>
      <c r="J114" t="s">
        <v>3</v>
      </c>
      <c r="K114" t="s">
        <v>631</v>
      </c>
      <c r="L114">
        <v>1327</v>
      </c>
      <c r="N114">
        <v>1005</v>
      </c>
      <c r="O114" t="s">
        <v>36</v>
      </c>
      <c r="P114" t="s">
        <v>36</v>
      </c>
      <c r="Q114">
        <v>1</v>
      </c>
      <c r="X114">
        <v>100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 t="s">
        <v>3</v>
      </c>
      <c r="AG114">
        <v>100</v>
      </c>
      <c r="AH114">
        <v>3</v>
      </c>
      <c r="AI114">
        <v>-1</v>
      </c>
      <c r="AJ114" t="s">
        <v>3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ROW(Source!A75)</f>
        <v>75</v>
      </c>
      <c r="B115">
        <v>44967017</v>
      </c>
      <c r="C115">
        <v>44967016</v>
      </c>
      <c r="D115">
        <v>30515951</v>
      </c>
      <c r="E115">
        <v>30515945</v>
      </c>
      <c r="F115">
        <v>1</v>
      </c>
      <c r="G115">
        <v>30515945</v>
      </c>
      <c r="H115">
        <v>1</v>
      </c>
      <c r="I115" t="s">
        <v>388</v>
      </c>
      <c r="J115" t="s">
        <v>3</v>
      </c>
      <c r="K115" t="s">
        <v>389</v>
      </c>
      <c r="L115">
        <v>1191</v>
      </c>
      <c r="N115">
        <v>1013</v>
      </c>
      <c r="O115" t="s">
        <v>390</v>
      </c>
      <c r="P115" t="s">
        <v>390</v>
      </c>
      <c r="Q115">
        <v>1</v>
      </c>
      <c r="X115">
        <v>221.55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1</v>
      </c>
      <c r="AF115" t="s">
        <v>18</v>
      </c>
      <c r="AG115">
        <v>254.7825</v>
      </c>
      <c r="AH115">
        <v>2</v>
      </c>
      <c r="AI115">
        <v>44967017</v>
      </c>
      <c r="AJ115">
        <v>118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ROW(Source!A75)</f>
        <v>75</v>
      </c>
      <c r="B116">
        <v>44967018</v>
      </c>
      <c r="C116">
        <v>44967016</v>
      </c>
      <c r="D116">
        <v>30596074</v>
      </c>
      <c r="E116">
        <v>1</v>
      </c>
      <c r="F116">
        <v>1</v>
      </c>
      <c r="G116">
        <v>30515945</v>
      </c>
      <c r="H116">
        <v>2</v>
      </c>
      <c r="I116" t="s">
        <v>391</v>
      </c>
      <c r="J116" t="s">
        <v>392</v>
      </c>
      <c r="K116" t="s">
        <v>393</v>
      </c>
      <c r="L116">
        <v>1367</v>
      </c>
      <c r="N116">
        <v>1011</v>
      </c>
      <c r="O116" t="s">
        <v>394</v>
      </c>
      <c r="P116" t="s">
        <v>394</v>
      </c>
      <c r="Q116">
        <v>1</v>
      </c>
      <c r="X116">
        <v>0.43</v>
      </c>
      <c r="Y116">
        <v>0</v>
      </c>
      <c r="Z116">
        <v>76.81</v>
      </c>
      <c r="AA116">
        <v>14.36</v>
      </c>
      <c r="AB116">
        <v>0</v>
      </c>
      <c r="AC116">
        <v>0</v>
      </c>
      <c r="AD116">
        <v>1</v>
      </c>
      <c r="AE116">
        <v>0</v>
      </c>
      <c r="AF116" t="s">
        <v>17</v>
      </c>
      <c r="AG116">
        <v>0.53749999999999998</v>
      </c>
      <c r="AH116">
        <v>2</v>
      </c>
      <c r="AI116">
        <v>44967018</v>
      </c>
      <c r="AJ116">
        <v>119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ROW(Source!A75)</f>
        <v>75</v>
      </c>
      <c r="B117">
        <v>44967020</v>
      </c>
      <c r="C117">
        <v>44967016</v>
      </c>
      <c r="D117">
        <v>30596197</v>
      </c>
      <c r="E117">
        <v>1</v>
      </c>
      <c r="F117">
        <v>1</v>
      </c>
      <c r="G117">
        <v>30515945</v>
      </c>
      <c r="H117">
        <v>2</v>
      </c>
      <c r="I117" t="s">
        <v>395</v>
      </c>
      <c r="J117" t="s">
        <v>396</v>
      </c>
      <c r="K117" t="s">
        <v>397</v>
      </c>
      <c r="L117">
        <v>1367</v>
      </c>
      <c r="N117">
        <v>1011</v>
      </c>
      <c r="O117" t="s">
        <v>394</v>
      </c>
      <c r="P117" t="s">
        <v>394</v>
      </c>
      <c r="Q117">
        <v>1</v>
      </c>
      <c r="X117">
        <v>1.1000000000000001</v>
      </c>
      <c r="Y117">
        <v>0</v>
      </c>
      <c r="Z117">
        <v>2.36</v>
      </c>
      <c r="AA117">
        <v>0.04</v>
      </c>
      <c r="AB117">
        <v>0</v>
      </c>
      <c r="AC117">
        <v>0</v>
      </c>
      <c r="AD117">
        <v>1</v>
      </c>
      <c r="AE117">
        <v>0</v>
      </c>
      <c r="AF117" t="s">
        <v>17</v>
      </c>
      <c r="AG117">
        <v>1.375</v>
      </c>
      <c r="AH117">
        <v>2</v>
      </c>
      <c r="AI117">
        <v>44967020</v>
      </c>
      <c r="AJ117">
        <v>120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ROW(Source!A75)</f>
        <v>75</v>
      </c>
      <c r="B118">
        <v>44967021</v>
      </c>
      <c r="C118">
        <v>44967016</v>
      </c>
      <c r="D118">
        <v>30596132</v>
      </c>
      <c r="E118">
        <v>1</v>
      </c>
      <c r="F118">
        <v>1</v>
      </c>
      <c r="G118">
        <v>30515945</v>
      </c>
      <c r="H118">
        <v>2</v>
      </c>
      <c r="I118" t="s">
        <v>398</v>
      </c>
      <c r="J118" t="s">
        <v>399</v>
      </c>
      <c r="K118" t="s">
        <v>400</v>
      </c>
      <c r="L118">
        <v>1367</v>
      </c>
      <c r="N118">
        <v>1011</v>
      </c>
      <c r="O118" t="s">
        <v>394</v>
      </c>
      <c r="P118" t="s">
        <v>394</v>
      </c>
      <c r="Q118">
        <v>1</v>
      </c>
      <c r="X118">
        <v>0.21</v>
      </c>
      <c r="Y118">
        <v>0</v>
      </c>
      <c r="Z118">
        <v>0.57999999999999996</v>
      </c>
      <c r="AA118">
        <v>0.04</v>
      </c>
      <c r="AB118">
        <v>0</v>
      </c>
      <c r="AC118">
        <v>0</v>
      </c>
      <c r="AD118">
        <v>1</v>
      </c>
      <c r="AE118">
        <v>0</v>
      </c>
      <c r="AF118" t="s">
        <v>17</v>
      </c>
      <c r="AG118">
        <v>0.26250000000000001</v>
      </c>
      <c r="AH118">
        <v>2</v>
      </c>
      <c r="AI118">
        <v>44967021</v>
      </c>
      <c r="AJ118">
        <v>121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ROW(Source!A75)</f>
        <v>75</v>
      </c>
      <c r="B119">
        <v>44967022</v>
      </c>
      <c r="C119">
        <v>44967016</v>
      </c>
      <c r="D119">
        <v>30596154</v>
      </c>
      <c r="E119">
        <v>1</v>
      </c>
      <c r="F119">
        <v>1</v>
      </c>
      <c r="G119">
        <v>30515945</v>
      </c>
      <c r="H119">
        <v>2</v>
      </c>
      <c r="I119" t="s">
        <v>401</v>
      </c>
      <c r="J119" t="s">
        <v>402</v>
      </c>
      <c r="K119" t="s">
        <v>403</v>
      </c>
      <c r="L119">
        <v>1367</v>
      </c>
      <c r="N119">
        <v>1011</v>
      </c>
      <c r="O119" t="s">
        <v>394</v>
      </c>
      <c r="P119" t="s">
        <v>394</v>
      </c>
      <c r="Q119">
        <v>1</v>
      </c>
      <c r="X119">
        <v>4.5999999999999996</v>
      </c>
      <c r="Y119">
        <v>0</v>
      </c>
      <c r="Z119">
        <v>0.64</v>
      </c>
      <c r="AA119">
        <v>0.04</v>
      </c>
      <c r="AB119">
        <v>0</v>
      </c>
      <c r="AC119">
        <v>0</v>
      </c>
      <c r="AD119">
        <v>1</v>
      </c>
      <c r="AE119">
        <v>0</v>
      </c>
      <c r="AF119" t="s">
        <v>17</v>
      </c>
      <c r="AG119">
        <v>5.75</v>
      </c>
      <c r="AH119">
        <v>2</v>
      </c>
      <c r="AI119">
        <v>44967022</v>
      </c>
      <c r="AJ119">
        <v>122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ROW(Source!A75)</f>
        <v>75</v>
      </c>
      <c r="B120">
        <v>44967019</v>
      </c>
      <c r="C120">
        <v>44967016</v>
      </c>
      <c r="D120">
        <v>30595318</v>
      </c>
      <c r="E120">
        <v>1</v>
      </c>
      <c r="F120">
        <v>1</v>
      </c>
      <c r="G120">
        <v>30515945</v>
      </c>
      <c r="H120">
        <v>2</v>
      </c>
      <c r="I120" t="s">
        <v>404</v>
      </c>
      <c r="J120" t="s">
        <v>405</v>
      </c>
      <c r="K120" t="s">
        <v>406</v>
      </c>
      <c r="L120">
        <v>1367</v>
      </c>
      <c r="N120">
        <v>1011</v>
      </c>
      <c r="O120" t="s">
        <v>394</v>
      </c>
      <c r="P120" t="s">
        <v>394</v>
      </c>
      <c r="Q120">
        <v>1</v>
      </c>
      <c r="X120">
        <v>1.06</v>
      </c>
      <c r="Y120">
        <v>0</v>
      </c>
      <c r="Z120">
        <v>102.11</v>
      </c>
      <c r="AA120">
        <v>30.03</v>
      </c>
      <c r="AB120">
        <v>0</v>
      </c>
      <c r="AC120">
        <v>0</v>
      </c>
      <c r="AD120">
        <v>1</v>
      </c>
      <c r="AE120">
        <v>0</v>
      </c>
      <c r="AF120" t="s">
        <v>17</v>
      </c>
      <c r="AG120">
        <v>1.325</v>
      </c>
      <c r="AH120">
        <v>2</v>
      </c>
      <c r="AI120">
        <v>44967019</v>
      </c>
      <c r="AJ120">
        <v>123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ROW(Source!A75)</f>
        <v>75</v>
      </c>
      <c r="B121">
        <v>44967023</v>
      </c>
      <c r="C121">
        <v>44967016</v>
      </c>
      <c r="D121">
        <v>30573936</v>
      </c>
      <c r="E121">
        <v>1</v>
      </c>
      <c r="F121">
        <v>1</v>
      </c>
      <c r="G121">
        <v>30515945</v>
      </c>
      <c r="H121">
        <v>3</v>
      </c>
      <c r="I121" t="s">
        <v>407</v>
      </c>
      <c r="J121" t="s">
        <v>408</v>
      </c>
      <c r="K121" t="s">
        <v>409</v>
      </c>
      <c r="L121">
        <v>1346</v>
      </c>
      <c r="N121">
        <v>1009</v>
      </c>
      <c r="O121" t="s">
        <v>55</v>
      </c>
      <c r="P121" t="s">
        <v>55</v>
      </c>
      <c r="Q121">
        <v>1</v>
      </c>
      <c r="X121">
        <v>20</v>
      </c>
      <c r="Y121">
        <v>17.309999999999999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20</v>
      </c>
      <c r="AH121">
        <v>2</v>
      </c>
      <c r="AI121">
        <v>44967023</v>
      </c>
      <c r="AJ121">
        <v>124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ROW(Source!A75)</f>
        <v>75</v>
      </c>
      <c r="B122">
        <v>44967024</v>
      </c>
      <c r="C122">
        <v>44967016</v>
      </c>
      <c r="D122">
        <v>30574374</v>
      </c>
      <c r="E122">
        <v>1</v>
      </c>
      <c r="F122">
        <v>1</v>
      </c>
      <c r="G122">
        <v>30515945</v>
      </c>
      <c r="H122">
        <v>3</v>
      </c>
      <c r="I122" t="s">
        <v>39</v>
      </c>
      <c r="J122" t="s">
        <v>41</v>
      </c>
      <c r="K122" t="s">
        <v>40</v>
      </c>
      <c r="L122">
        <v>1301</v>
      </c>
      <c r="N122">
        <v>1003</v>
      </c>
      <c r="O122" t="s">
        <v>26</v>
      </c>
      <c r="P122" t="s">
        <v>26</v>
      </c>
      <c r="Q122">
        <v>1</v>
      </c>
      <c r="X122">
        <v>152</v>
      </c>
      <c r="Y122">
        <v>0.89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152</v>
      </c>
      <c r="AH122">
        <v>2</v>
      </c>
      <c r="AI122">
        <v>44967024</v>
      </c>
      <c r="AJ122">
        <v>125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ROW(Source!A75)</f>
        <v>75</v>
      </c>
      <c r="B123">
        <v>44967025</v>
      </c>
      <c r="C123">
        <v>44967016</v>
      </c>
      <c r="D123">
        <v>30574375</v>
      </c>
      <c r="E123">
        <v>1</v>
      </c>
      <c r="F123">
        <v>1</v>
      </c>
      <c r="G123">
        <v>30515945</v>
      </c>
      <c r="H123">
        <v>3</v>
      </c>
      <c r="I123" t="s">
        <v>413</v>
      </c>
      <c r="J123" t="s">
        <v>414</v>
      </c>
      <c r="K123" t="s">
        <v>415</v>
      </c>
      <c r="L123">
        <v>1301</v>
      </c>
      <c r="N123">
        <v>1003</v>
      </c>
      <c r="O123" t="s">
        <v>26</v>
      </c>
      <c r="P123" t="s">
        <v>26</v>
      </c>
      <c r="Q123">
        <v>1</v>
      </c>
      <c r="X123">
        <v>177</v>
      </c>
      <c r="Y123">
        <v>1.62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177</v>
      </c>
      <c r="AH123">
        <v>2</v>
      </c>
      <c r="AI123">
        <v>44967025</v>
      </c>
      <c r="AJ123">
        <v>126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ROW(Source!A75)</f>
        <v>75</v>
      </c>
      <c r="B124">
        <v>44967026</v>
      </c>
      <c r="C124">
        <v>44967016</v>
      </c>
      <c r="D124">
        <v>30574380</v>
      </c>
      <c r="E124">
        <v>1</v>
      </c>
      <c r="F124">
        <v>1</v>
      </c>
      <c r="G124">
        <v>30515945</v>
      </c>
      <c r="H124">
        <v>3</v>
      </c>
      <c r="I124" t="s">
        <v>416</v>
      </c>
      <c r="J124" t="s">
        <v>417</v>
      </c>
      <c r="K124" t="s">
        <v>418</v>
      </c>
      <c r="L124">
        <v>1355</v>
      </c>
      <c r="N124">
        <v>1010</v>
      </c>
      <c r="O124" t="s">
        <v>419</v>
      </c>
      <c r="P124" t="s">
        <v>419</v>
      </c>
      <c r="Q124">
        <v>100</v>
      </c>
      <c r="X124">
        <v>20.29</v>
      </c>
      <c r="Y124">
        <v>4.2699999999999996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20.29</v>
      </c>
      <c r="AH124">
        <v>2</v>
      </c>
      <c r="AI124">
        <v>44967026</v>
      </c>
      <c r="AJ124">
        <v>127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ROW(Source!A75)</f>
        <v>75</v>
      </c>
      <c r="B125">
        <v>44967027</v>
      </c>
      <c r="C125">
        <v>44967016</v>
      </c>
      <c r="D125">
        <v>30574381</v>
      </c>
      <c r="E125">
        <v>1</v>
      </c>
      <c r="F125">
        <v>1</v>
      </c>
      <c r="G125">
        <v>30515945</v>
      </c>
      <c r="H125">
        <v>3</v>
      </c>
      <c r="I125" t="s">
        <v>503</v>
      </c>
      <c r="J125" t="s">
        <v>504</v>
      </c>
      <c r="K125" t="s">
        <v>505</v>
      </c>
      <c r="L125">
        <v>1355</v>
      </c>
      <c r="N125">
        <v>1010</v>
      </c>
      <c r="O125" t="s">
        <v>419</v>
      </c>
      <c r="P125" t="s">
        <v>419</v>
      </c>
      <c r="Q125">
        <v>100</v>
      </c>
      <c r="X125">
        <v>35.33</v>
      </c>
      <c r="Y125">
        <v>5.59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35.33</v>
      </c>
      <c r="AH125">
        <v>2</v>
      </c>
      <c r="AI125">
        <v>44967027</v>
      </c>
      <c r="AJ125">
        <v>128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ROW(Source!A75)</f>
        <v>75</v>
      </c>
      <c r="B126">
        <v>44967028</v>
      </c>
      <c r="C126">
        <v>44967016</v>
      </c>
      <c r="D126">
        <v>30574383</v>
      </c>
      <c r="E126">
        <v>1</v>
      </c>
      <c r="F126">
        <v>1</v>
      </c>
      <c r="G126">
        <v>30515945</v>
      </c>
      <c r="H126">
        <v>3</v>
      </c>
      <c r="I126" t="s">
        <v>420</v>
      </c>
      <c r="J126" t="s">
        <v>421</v>
      </c>
      <c r="K126" t="s">
        <v>422</v>
      </c>
      <c r="L126">
        <v>1355</v>
      </c>
      <c r="N126">
        <v>1010</v>
      </c>
      <c r="O126" t="s">
        <v>419</v>
      </c>
      <c r="P126" t="s">
        <v>419</v>
      </c>
      <c r="Q126">
        <v>100</v>
      </c>
      <c r="X126">
        <v>3.38</v>
      </c>
      <c r="Y126">
        <v>43.81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3.38</v>
      </c>
      <c r="AH126">
        <v>2</v>
      </c>
      <c r="AI126">
        <v>44967028</v>
      </c>
      <c r="AJ126">
        <v>129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ROW(Source!A75)</f>
        <v>75</v>
      </c>
      <c r="B127">
        <v>44967029</v>
      </c>
      <c r="C127">
        <v>44967016</v>
      </c>
      <c r="D127">
        <v>30589848</v>
      </c>
      <c r="E127">
        <v>1</v>
      </c>
      <c r="F127">
        <v>1</v>
      </c>
      <c r="G127">
        <v>30515945</v>
      </c>
      <c r="H127">
        <v>3</v>
      </c>
      <c r="I127" t="s">
        <v>423</v>
      </c>
      <c r="J127" t="s">
        <v>424</v>
      </c>
      <c r="K127" t="s">
        <v>425</v>
      </c>
      <c r="L127">
        <v>1346</v>
      </c>
      <c r="N127">
        <v>1009</v>
      </c>
      <c r="O127" t="s">
        <v>55</v>
      </c>
      <c r="P127" t="s">
        <v>55</v>
      </c>
      <c r="Q127">
        <v>1</v>
      </c>
      <c r="X127">
        <v>21</v>
      </c>
      <c r="Y127">
        <v>14.88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21</v>
      </c>
      <c r="AH127">
        <v>2</v>
      </c>
      <c r="AI127">
        <v>44967029</v>
      </c>
      <c r="AJ127">
        <v>132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ROW(Source!A75)</f>
        <v>75</v>
      </c>
      <c r="B128">
        <v>44967030</v>
      </c>
      <c r="C128">
        <v>44967016</v>
      </c>
      <c r="D128">
        <v>30589734</v>
      </c>
      <c r="E128">
        <v>1</v>
      </c>
      <c r="F128">
        <v>1</v>
      </c>
      <c r="G128">
        <v>30515945</v>
      </c>
      <c r="H128">
        <v>3</v>
      </c>
      <c r="I128" t="s">
        <v>429</v>
      </c>
      <c r="J128" t="s">
        <v>430</v>
      </c>
      <c r="K128" t="s">
        <v>431</v>
      </c>
      <c r="L128">
        <v>1346</v>
      </c>
      <c r="N128">
        <v>1009</v>
      </c>
      <c r="O128" t="s">
        <v>55</v>
      </c>
      <c r="P128" t="s">
        <v>55</v>
      </c>
      <c r="Q128">
        <v>1</v>
      </c>
      <c r="X128">
        <v>149</v>
      </c>
      <c r="Y128">
        <v>5.19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149</v>
      </c>
      <c r="AH128">
        <v>2</v>
      </c>
      <c r="AI128">
        <v>44967030</v>
      </c>
      <c r="AJ128">
        <v>133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ROW(Source!A75)</f>
        <v>75</v>
      </c>
      <c r="B129">
        <v>44967031</v>
      </c>
      <c r="C129">
        <v>44967016</v>
      </c>
      <c r="D129">
        <v>30534135</v>
      </c>
      <c r="E129">
        <v>30515945</v>
      </c>
      <c r="F129">
        <v>1</v>
      </c>
      <c r="G129">
        <v>30515945</v>
      </c>
      <c r="H129">
        <v>3</v>
      </c>
      <c r="I129" t="s">
        <v>242</v>
      </c>
      <c r="J129" t="s">
        <v>3</v>
      </c>
      <c r="K129" t="s">
        <v>243</v>
      </c>
      <c r="L129">
        <v>1301</v>
      </c>
      <c r="N129">
        <v>1003</v>
      </c>
      <c r="O129" t="s">
        <v>26</v>
      </c>
      <c r="P129" t="s">
        <v>26</v>
      </c>
      <c r="Q129">
        <v>1</v>
      </c>
      <c r="X129">
        <v>267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 t="s">
        <v>3</v>
      </c>
      <c r="AG129">
        <v>267</v>
      </c>
      <c r="AH129">
        <v>2</v>
      </c>
      <c r="AI129">
        <v>44967031</v>
      </c>
      <c r="AJ129">
        <v>136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ROW(Source!A75)</f>
        <v>75</v>
      </c>
      <c r="B130">
        <v>44967032</v>
      </c>
      <c r="C130">
        <v>44967016</v>
      </c>
      <c r="D130">
        <v>30531663</v>
      </c>
      <c r="E130">
        <v>30515945</v>
      </c>
      <c r="F130">
        <v>1</v>
      </c>
      <c r="G130">
        <v>30515945</v>
      </c>
      <c r="H130">
        <v>3</v>
      </c>
      <c r="I130" t="s">
        <v>588</v>
      </c>
      <c r="J130" t="s">
        <v>3</v>
      </c>
      <c r="K130" t="s">
        <v>632</v>
      </c>
      <c r="L130">
        <v>1301</v>
      </c>
      <c r="N130">
        <v>1003</v>
      </c>
      <c r="O130" t="s">
        <v>26</v>
      </c>
      <c r="P130" t="s">
        <v>26</v>
      </c>
      <c r="Q130">
        <v>1</v>
      </c>
      <c r="X130">
        <v>407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 t="s">
        <v>3</v>
      </c>
      <c r="AG130">
        <v>407</v>
      </c>
      <c r="AH130">
        <v>3</v>
      </c>
      <c r="AI130">
        <v>-1</v>
      </c>
      <c r="AJ130" t="s">
        <v>3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ROW(Source!A75)</f>
        <v>75</v>
      </c>
      <c r="B131">
        <v>44967033</v>
      </c>
      <c r="C131">
        <v>44967016</v>
      </c>
      <c r="D131">
        <v>30531672</v>
      </c>
      <c r="E131">
        <v>30515945</v>
      </c>
      <c r="F131">
        <v>1</v>
      </c>
      <c r="G131">
        <v>30515945</v>
      </c>
      <c r="H131">
        <v>3</v>
      </c>
      <c r="I131" t="s">
        <v>588</v>
      </c>
      <c r="J131" t="s">
        <v>3</v>
      </c>
      <c r="K131" t="s">
        <v>589</v>
      </c>
      <c r="L131">
        <v>1301</v>
      </c>
      <c r="N131">
        <v>1003</v>
      </c>
      <c r="O131" t="s">
        <v>26</v>
      </c>
      <c r="P131" t="s">
        <v>26</v>
      </c>
      <c r="Q131">
        <v>1</v>
      </c>
      <c r="X131">
        <v>151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 t="s">
        <v>3</v>
      </c>
      <c r="AG131">
        <v>151</v>
      </c>
      <c r="AH131">
        <v>3</v>
      </c>
      <c r="AI131">
        <v>-1</v>
      </c>
      <c r="AJ131" t="s">
        <v>3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ROW(Source!A75)</f>
        <v>75</v>
      </c>
      <c r="B132">
        <v>44967034</v>
      </c>
      <c r="C132">
        <v>44967016</v>
      </c>
      <c r="D132">
        <v>30531666</v>
      </c>
      <c r="E132">
        <v>30515945</v>
      </c>
      <c r="F132">
        <v>1</v>
      </c>
      <c r="G132">
        <v>30515945</v>
      </c>
      <c r="H132">
        <v>3</v>
      </c>
      <c r="I132" t="s">
        <v>591</v>
      </c>
      <c r="J132" t="s">
        <v>3</v>
      </c>
      <c r="K132" t="s">
        <v>592</v>
      </c>
      <c r="L132">
        <v>1327</v>
      </c>
      <c r="N132">
        <v>1005</v>
      </c>
      <c r="O132" t="s">
        <v>36</v>
      </c>
      <c r="P132" t="s">
        <v>36</v>
      </c>
      <c r="Q132">
        <v>1</v>
      </c>
      <c r="X132">
        <v>526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 t="s">
        <v>3</v>
      </c>
      <c r="AG132">
        <v>526</v>
      </c>
      <c r="AH132">
        <v>3</v>
      </c>
      <c r="AI132">
        <v>-1</v>
      </c>
      <c r="AJ132" t="s">
        <v>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ROW(Source!A75)</f>
        <v>75</v>
      </c>
      <c r="B133">
        <v>44967035</v>
      </c>
      <c r="C133">
        <v>44967016</v>
      </c>
      <c r="D133">
        <v>30532078</v>
      </c>
      <c r="E133">
        <v>30515945</v>
      </c>
      <c r="F133">
        <v>1</v>
      </c>
      <c r="G133">
        <v>30515945</v>
      </c>
      <c r="H133">
        <v>3</v>
      </c>
      <c r="I133" t="s">
        <v>633</v>
      </c>
      <c r="J133" t="s">
        <v>3</v>
      </c>
      <c r="K133" t="s">
        <v>634</v>
      </c>
      <c r="L133">
        <v>1327</v>
      </c>
      <c r="N133">
        <v>1005</v>
      </c>
      <c r="O133" t="s">
        <v>36</v>
      </c>
      <c r="P133" t="s">
        <v>36</v>
      </c>
      <c r="Q133">
        <v>1</v>
      </c>
      <c r="X133">
        <v>103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 t="s">
        <v>3</v>
      </c>
      <c r="AG133">
        <v>103</v>
      </c>
      <c r="AH133">
        <v>3</v>
      </c>
      <c r="AI133">
        <v>-1</v>
      </c>
      <c r="AJ133" t="s">
        <v>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ROW(Source!A81)</f>
        <v>81</v>
      </c>
      <c r="B134">
        <v>44964385</v>
      </c>
      <c r="C134">
        <v>44964373</v>
      </c>
      <c r="D134">
        <v>30515951</v>
      </c>
      <c r="E134">
        <v>30515945</v>
      </c>
      <c r="F134">
        <v>1</v>
      </c>
      <c r="G134">
        <v>30515945</v>
      </c>
      <c r="H134">
        <v>1</v>
      </c>
      <c r="I134" t="s">
        <v>388</v>
      </c>
      <c r="J134" t="s">
        <v>3</v>
      </c>
      <c r="K134" t="s">
        <v>389</v>
      </c>
      <c r="L134">
        <v>1191</v>
      </c>
      <c r="N134">
        <v>1013</v>
      </c>
      <c r="O134" t="s">
        <v>390</v>
      </c>
      <c r="P134" t="s">
        <v>390</v>
      </c>
      <c r="Q134">
        <v>1</v>
      </c>
      <c r="X134">
        <v>56.18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1</v>
      </c>
      <c r="AF134" t="s">
        <v>18</v>
      </c>
      <c r="AG134">
        <v>64.606999999999999</v>
      </c>
      <c r="AH134">
        <v>2</v>
      </c>
      <c r="AI134">
        <v>44964374</v>
      </c>
      <c r="AJ134">
        <v>137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ROW(Source!A81)</f>
        <v>81</v>
      </c>
      <c r="B135">
        <v>44964386</v>
      </c>
      <c r="C135">
        <v>44964373</v>
      </c>
      <c r="D135">
        <v>30596074</v>
      </c>
      <c r="E135">
        <v>1</v>
      </c>
      <c r="F135">
        <v>1</v>
      </c>
      <c r="G135">
        <v>30515945</v>
      </c>
      <c r="H135">
        <v>2</v>
      </c>
      <c r="I135" t="s">
        <v>391</v>
      </c>
      <c r="J135" t="s">
        <v>392</v>
      </c>
      <c r="K135" t="s">
        <v>393</v>
      </c>
      <c r="L135">
        <v>1367</v>
      </c>
      <c r="N135">
        <v>1011</v>
      </c>
      <c r="O135" t="s">
        <v>394</v>
      </c>
      <c r="P135" t="s">
        <v>394</v>
      </c>
      <c r="Q135">
        <v>1</v>
      </c>
      <c r="X135">
        <v>0.19</v>
      </c>
      <c r="Y135">
        <v>0</v>
      </c>
      <c r="Z135">
        <v>76.81</v>
      </c>
      <c r="AA135">
        <v>14.36</v>
      </c>
      <c r="AB135">
        <v>0</v>
      </c>
      <c r="AC135">
        <v>0</v>
      </c>
      <c r="AD135">
        <v>1</v>
      </c>
      <c r="AE135">
        <v>0</v>
      </c>
      <c r="AF135" t="s">
        <v>17</v>
      </c>
      <c r="AG135">
        <v>0.23749999999999999</v>
      </c>
      <c r="AH135">
        <v>2</v>
      </c>
      <c r="AI135">
        <v>44964375</v>
      </c>
      <c r="AJ135">
        <v>138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ROW(Source!A81)</f>
        <v>81</v>
      </c>
      <c r="B136">
        <v>44964387</v>
      </c>
      <c r="C136">
        <v>44964373</v>
      </c>
      <c r="D136">
        <v>30596197</v>
      </c>
      <c r="E136">
        <v>1</v>
      </c>
      <c r="F136">
        <v>1</v>
      </c>
      <c r="G136">
        <v>30515945</v>
      </c>
      <c r="H136">
        <v>2</v>
      </c>
      <c r="I136" t="s">
        <v>395</v>
      </c>
      <c r="J136" t="s">
        <v>396</v>
      </c>
      <c r="K136" t="s">
        <v>397</v>
      </c>
      <c r="L136">
        <v>1367</v>
      </c>
      <c r="N136">
        <v>1011</v>
      </c>
      <c r="O136" t="s">
        <v>394</v>
      </c>
      <c r="P136" t="s">
        <v>394</v>
      </c>
      <c r="Q136">
        <v>1</v>
      </c>
      <c r="X136">
        <v>3.6</v>
      </c>
      <c r="Y136">
        <v>0</v>
      </c>
      <c r="Z136">
        <v>2.36</v>
      </c>
      <c r="AA136">
        <v>0.04</v>
      </c>
      <c r="AB136">
        <v>0</v>
      </c>
      <c r="AC136">
        <v>0</v>
      </c>
      <c r="AD136">
        <v>1</v>
      </c>
      <c r="AE136">
        <v>0</v>
      </c>
      <c r="AF136" t="s">
        <v>17</v>
      </c>
      <c r="AG136">
        <v>4.5</v>
      </c>
      <c r="AH136">
        <v>2</v>
      </c>
      <c r="AI136">
        <v>44964376</v>
      </c>
      <c r="AJ136">
        <v>139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ROW(Source!A81)</f>
        <v>81</v>
      </c>
      <c r="B137">
        <v>44964388</v>
      </c>
      <c r="C137">
        <v>44964373</v>
      </c>
      <c r="D137">
        <v>30596128</v>
      </c>
      <c r="E137">
        <v>1</v>
      </c>
      <c r="F137">
        <v>1</v>
      </c>
      <c r="G137">
        <v>30515945</v>
      </c>
      <c r="H137">
        <v>2</v>
      </c>
      <c r="I137" t="s">
        <v>506</v>
      </c>
      <c r="J137" t="s">
        <v>507</v>
      </c>
      <c r="K137" t="s">
        <v>508</v>
      </c>
      <c r="L137">
        <v>1367</v>
      </c>
      <c r="N137">
        <v>1011</v>
      </c>
      <c r="O137" t="s">
        <v>394</v>
      </c>
      <c r="P137" t="s">
        <v>394</v>
      </c>
      <c r="Q137">
        <v>1</v>
      </c>
      <c r="X137">
        <v>0.3</v>
      </c>
      <c r="Y137">
        <v>0</v>
      </c>
      <c r="Z137">
        <v>0.81</v>
      </c>
      <c r="AA137">
        <v>0.03</v>
      </c>
      <c r="AB137">
        <v>0</v>
      </c>
      <c r="AC137">
        <v>0</v>
      </c>
      <c r="AD137">
        <v>1</v>
      </c>
      <c r="AE137">
        <v>0</v>
      </c>
      <c r="AF137" t="s">
        <v>17</v>
      </c>
      <c r="AG137">
        <v>0.375</v>
      </c>
      <c r="AH137">
        <v>2</v>
      </c>
      <c r="AI137">
        <v>44964377</v>
      </c>
      <c r="AJ137">
        <v>140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ROW(Source!A81)</f>
        <v>81</v>
      </c>
      <c r="B138">
        <v>44964389</v>
      </c>
      <c r="C138">
        <v>44964373</v>
      </c>
      <c r="D138">
        <v>30573285</v>
      </c>
      <c r="E138">
        <v>1</v>
      </c>
      <c r="F138">
        <v>1</v>
      </c>
      <c r="G138">
        <v>30515945</v>
      </c>
      <c r="H138">
        <v>3</v>
      </c>
      <c r="I138" t="s">
        <v>509</v>
      </c>
      <c r="J138" t="s">
        <v>510</v>
      </c>
      <c r="K138" t="s">
        <v>511</v>
      </c>
      <c r="L138">
        <v>1296</v>
      </c>
      <c r="N138">
        <v>1002</v>
      </c>
      <c r="O138" t="s">
        <v>512</v>
      </c>
      <c r="P138" t="s">
        <v>512</v>
      </c>
      <c r="Q138">
        <v>1</v>
      </c>
      <c r="X138">
        <v>2.6</v>
      </c>
      <c r="Y138">
        <v>177.8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2.6</v>
      </c>
      <c r="AH138">
        <v>2</v>
      </c>
      <c r="AI138">
        <v>44964378</v>
      </c>
      <c r="AJ138">
        <v>141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ROW(Source!A81)</f>
        <v>81</v>
      </c>
      <c r="B139">
        <v>44964390</v>
      </c>
      <c r="C139">
        <v>44964373</v>
      </c>
      <c r="D139">
        <v>30574229</v>
      </c>
      <c r="E139">
        <v>1</v>
      </c>
      <c r="F139">
        <v>1</v>
      </c>
      <c r="G139">
        <v>30515945</v>
      </c>
      <c r="H139">
        <v>3</v>
      </c>
      <c r="I139" t="s">
        <v>513</v>
      </c>
      <c r="J139" t="s">
        <v>514</v>
      </c>
      <c r="K139" t="s">
        <v>515</v>
      </c>
      <c r="L139">
        <v>1296</v>
      </c>
      <c r="N139">
        <v>1002</v>
      </c>
      <c r="O139" t="s">
        <v>512</v>
      </c>
      <c r="P139" t="s">
        <v>512</v>
      </c>
      <c r="Q139">
        <v>1</v>
      </c>
      <c r="X139">
        <v>6.1</v>
      </c>
      <c r="Y139">
        <v>125.73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6.1</v>
      </c>
      <c r="AH139">
        <v>2</v>
      </c>
      <c r="AI139">
        <v>44964379</v>
      </c>
      <c r="AJ139">
        <v>142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ROW(Source!A81)</f>
        <v>81</v>
      </c>
      <c r="B140">
        <v>44964391</v>
      </c>
      <c r="C140">
        <v>44964373</v>
      </c>
      <c r="D140">
        <v>30571149</v>
      </c>
      <c r="E140">
        <v>1</v>
      </c>
      <c r="F140">
        <v>1</v>
      </c>
      <c r="G140">
        <v>30515945</v>
      </c>
      <c r="H140">
        <v>3</v>
      </c>
      <c r="I140" t="s">
        <v>516</v>
      </c>
      <c r="J140" t="s">
        <v>517</v>
      </c>
      <c r="K140" t="s">
        <v>518</v>
      </c>
      <c r="L140">
        <v>1339</v>
      </c>
      <c r="N140">
        <v>1007</v>
      </c>
      <c r="O140" t="s">
        <v>140</v>
      </c>
      <c r="P140" t="s">
        <v>140</v>
      </c>
      <c r="Q140">
        <v>1</v>
      </c>
      <c r="X140">
        <v>1.6000000000000001E-3</v>
      </c>
      <c r="Y140">
        <v>2472.13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1.6000000000000001E-3</v>
      </c>
      <c r="AH140">
        <v>2</v>
      </c>
      <c r="AI140">
        <v>44964380</v>
      </c>
      <c r="AJ140">
        <v>143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ROW(Source!A81)</f>
        <v>81</v>
      </c>
      <c r="B141">
        <v>44964392</v>
      </c>
      <c r="C141">
        <v>44964373</v>
      </c>
      <c r="D141">
        <v>30589692</v>
      </c>
      <c r="E141">
        <v>1</v>
      </c>
      <c r="F141">
        <v>1</v>
      </c>
      <c r="G141">
        <v>30515945</v>
      </c>
      <c r="H141">
        <v>3</v>
      </c>
      <c r="I141" t="s">
        <v>519</v>
      </c>
      <c r="J141" t="s">
        <v>520</v>
      </c>
      <c r="K141" t="s">
        <v>521</v>
      </c>
      <c r="L141">
        <v>1339</v>
      </c>
      <c r="N141">
        <v>1007</v>
      </c>
      <c r="O141" t="s">
        <v>140</v>
      </c>
      <c r="P141" t="s">
        <v>140</v>
      </c>
      <c r="Q141">
        <v>1</v>
      </c>
      <c r="X141">
        <v>0.01</v>
      </c>
      <c r="Y141">
        <v>478.96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0.01</v>
      </c>
      <c r="AH141">
        <v>2</v>
      </c>
      <c r="AI141">
        <v>44964381</v>
      </c>
      <c r="AJ141">
        <v>144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ROW(Source!A81)</f>
        <v>81</v>
      </c>
      <c r="B142">
        <v>44964393</v>
      </c>
      <c r="C142">
        <v>44964373</v>
      </c>
      <c r="D142">
        <v>38720055</v>
      </c>
      <c r="E142">
        <v>1</v>
      </c>
      <c r="F142">
        <v>1</v>
      </c>
      <c r="G142">
        <v>30515945</v>
      </c>
      <c r="H142">
        <v>3</v>
      </c>
      <c r="I142" t="s">
        <v>522</v>
      </c>
      <c r="J142" t="s">
        <v>523</v>
      </c>
      <c r="K142" t="s">
        <v>524</v>
      </c>
      <c r="L142">
        <v>1354</v>
      </c>
      <c r="N142">
        <v>1010</v>
      </c>
      <c r="O142" t="s">
        <v>270</v>
      </c>
      <c r="P142" t="s">
        <v>270</v>
      </c>
      <c r="Q142">
        <v>1</v>
      </c>
      <c r="X142">
        <v>0.6</v>
      </c>
      <c r="Y142">
        <v>14.23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0.6</v>
      </c>
      <c r="AH142">
        <v>2</v>
      </c>
      <c r="AI142">
        <v>44964383</v>
      </c>
      <c r="AJ142">
        <v>146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ROW(Source!A81)</f>
        <v>81</v>
      </c>
      <c r="B143">
        <v>44964394</v>
      </c>
      <c r="C143">
        <v>44964373</v>
      </c>
      <c r="D143">
        <v>30593539</v>
      </c>
      <c r="E143">
        <v>1</v>
      </c>
      <c r="F143">
        <v>1</v>
      </c>
      <c r="G143">
        <v>30515945</v>
      </c>
      <c r="H143">
        <v>3</v>
      </c>
      <c r="I143" t="s">
        <v>525</v>
      </c>
      <c r="J143" t="s">
        <v>526</v>
      </c>
      <c r="K143" t="s">
        <v>527</v>
      </c>
      <c r="L143">
        <v>1354</v>
      </c>
      <c r="N143">
        <v>1010</v>
      </c>
      <c r="O143" t="s">
        <v>270</v>
      </c>
      <c r="P143" t="s">
        <v>270</v>
      </c>
      <c r="Q143">
        <v>1</v>
      </c>
      <c r="X143">
        <v>60</v>
      </c>
      <c r="Y143">
        <v>25.33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60</v>
      </c>
      <c r="AH143">
        <v>2</v>
      </c>
      <c r="AI143">
        <v>44964384</v>
      </c>
      <c r="AJ143">
        <v>147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ROW(Source!A81)</f>
        <v>81</v>
      </c>
      <c r="B144">
        <v>44964395</v>
      </c>
      <c r="C144">
        <v>44964373</v>
      </c>
      <c r="D144">
        <v>30541883</v>
      </c>
      <c r="E144">
        <v>30515945</v>
      </c>
      <c r="F144">
        <v>1</v>
      </c>
      <c r="G144">
        <v>30515945</v>
      </c>
      <c r="H144">
        <v>3</v>
      </c>
      <c r="I144" t="s">
        <v>635</v>
      </c>
      <c r="J144" t="s">
        <v>3</v>
      </c>
      <c r="K144" t="s">
        <v>636</v>
      </c>
      <c r="L144">
        <v>1354</v>
      </c>
      <c r="N144">
        <v>1010</v>
      </c>
      <c r="O144" t="s">
        <v>270</v>
      </c>
      <c r="P144" t="s">
        <v>270</v>
      </c>
      <c r="Q144">
        <v>1</v>
      </c>
      <c r="X144">
        <v>10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 t="s">
        <v>3</v>
      </c>
      <c r="AG144">
        <v>10</v>
      </c>
      <c r="AH144">
        <v>3</v>
      </c>
      <c r="AI144">
        <v>-1</v>
      </c>
      <c r="AJ144" t="s">
        <v>3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ROW(Source!A83)</f>
        <v>83</v>
      </c>
      <c r="B145">
        <v>44966977</v>
      </c>
      <c r="C145">
        <v>44966976</v>
      </c>
      <c r="D145">
        <v>30515951</v>
      </c>
      <c r="E145">
        <v>30515945</v>
      </c>
      <c r="F145">
        <v>1</v>
      </c>
      <c r="G145">
        <v>30515945</v>
      </c>
      <c r="H145">
        <v>1</v>
      </c>
      <c r="I145" t="s">
        <v>388</v>
      </c>
      <c r="J145" t="s">
        <v>3</v>
      </c>
      <c r="K145" t="s">
        <v>389</v>
      </c>
      <c r="L145">
        <v>1191</v>
      </c>
      <c r="N145">
        <v>1013</v>
      </c>
      <c r="O145" t="s">
        <v>390</v>
      </c>
      <c r="P145" t="s">
        <v>390</v>
      </c>
      <c r="Q145">
        <v>1</v>
      </c>
      <c r="X145">
        <v>89.9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1</v>
      </c>
      <c r="AF145" t="s">
        <v>18</v>
      </c>
      <c r="AG145">
        <v>103.38500000000001</v>
      </c>
      <c r="AH145">
        <v>2</v>
      </c>
      <c r="AI145">
        <v>44966977</v>
      </c>
      <c r="AJ145">
        <v>148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ROW(Source!A83)</f>
        <v>83</v>
      </c>
      <c r="B146">
        <v>44966978</v>
      </c>
      <c r="C146">
        <v>44966976</v>
      </c>
      <c r="D146">
        <v>30596074</v>
      </c>
      <c r="E146">
        <v>1</v>
      </c>
      <c r="F146">
        <v>1</v>
      </c>
      <c r="G146">
        <v>30515945</v>
      </c>
      <c r="H146">
        <v>2</v>
      </c>
      <c r="I146" t="s">
        <v>391</v>
      </c>
      <c r="J146" t="s">
        <v>392</v>
      </c>
      <c r="K146" t="s">
        <v>393</v>
      </c>
      <c r="L146">
        <v>1367</v>
      </c>
      <c r="N146">
        <v>1011</v>
      </c>
      <c r="O146" t="s">
        <v>394</v>
      </c>
      <c r="P146" t="s">
        <v>394</v>
      </c>
      <c r="Q146">
        <v>1</v>
      </c>
      <c r="X146">
        <v>1.83</v>
      </c>
      <c r="Y146">
        <v>0</v>
      </c>
      <c r="Z146">
        <v>76.81</v>
      </c>
      <c r="AA146">
        <v>14.36</v>
      </c>
      <c r="AB146">
        <v>0</v>
      </c>
      <c r="AC146">
        <v>0</v>
      </c>
      <c r="AD146">
        <v>1</v>
      </c>
      <c r="AE146">
        <v>0</v>
      </c>
      <c r="AF146" t="s">
        <v>17</v>
      </c>
      <c r="AG146">
        <v>2.2875000000000001</v>
      </c>
      <c r="AH146">
        <v>2</v>
      </c>
      <c r="AI146">
        <v>44966978</v>
      </c>
      <c r="AJ146">
        <v>149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ROW(Source!A83)</f>
        <v>83</v>
      </c>
      <c r="B147">
        <v>44966979</v>
      </c>
      <c r="C147">
        <v>44966976</v>
      </c>
      <c r="D147">
        <v>30595318</v>
      </c>
      <c r="E147">
        <v>1</v>
      </c>
      <c r="F147">
        <v>1</v>
      </c>
      <c r="G147">
        <v>30515945</v>
      </c>
      <c r="H147">
        <v>2</v>
      </c>
      <c r="I147" t="s">
        <v>404</v>
      </c>
      <c r="J147" t="s">
        <v>405</v>
      </c>
      <c r="K147" t="s">
        <v>406</v>
      </c>
      <c r="L147">
        <v>1367</v>
      </c>
      <c r="N147">
        <v>1011</v>
      </c>
      <c r="O147" t="s">
        <v>394</v>
      </c>
      <c r="P147" t="s">
        <v>394</v>
      </c>
      <c r="Q147">
        <v>1</v>
      </c>
      <c r="X147">
        <v>1.52</v>
      </c>
      <c r="Y147">
        <v>0</v>
      </c>
      <c r="Z147">
        <v>102.11</v>
      </c>
      <c r="AA147">
        <v>30.03</v>
      </c>
      <c r="AB147">
        <v>0</v>
      </c>
      <c r="AC147">
        <v>0</v>
      </c>
      <c r="AD147">
        <v>1</v>
      </c>
      <c r="AE147">
        <v>0</v>
      </c>
      <c r="AF147" t="s">
        <v>17</v>
      </c>
      <c r="AG147">
        <v>1.9</v>
      </c>
      <c r="AH147">
        <v>2</v>
      </c>
      <c r="AI147">
        <v>44966979</v>
      </c>
      <c r="AJ147">
        <v>150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ROW(Source!A83)</f>
        <v>83</v>
      </c>
      <c r="B148">
        <v>44966980</v>
      </c>
      <c r="C148">
        <v>44966976</v>
      </c>
      <c r="D148">
        <v>30595537</v>
      </c>
      <c r="E148">
        <v>1</v>
      </c>
      <c r="F148">
        <v>1</v>
      </c>
      <c r="G148">
        <v>30515945</v>
      </c>
      <c r="H148">
        <v>2</v>
      </c>
      <c r="I148" t="s">
        <v>528</v>
      </c>
      <c r="J148" t="s">
        <v>529</v>
      </c>
      <c r="K148" t="s">
        <v>530</v>
      </c>
      <c r="L148">
        <v>1367</v>
      </c>
      <c r="N148">
        <v>1011</v>
      </c>
      <c r="O148" t="s">
        <v>394</v>
      </c>
      <c r="P148" t="s">
        <v>394</v>
      </c>
      <c r="Q148">
        <v>1</v>
      </c>
      <c r="X148">
        <v>1.79</v>
      </c>
      <c r="Y148">
        <v>0</v>
      </c>
      <c r="Z148">
        <v>13.3</v>
      </c>
      <c r="AA148">
        <v>0.97</v>
      </c>
      <c r="AB148">
        <v>0</v>
      </c>
      <c r="AC148">
        <v>0</v>
      </c>
      <c r="AD148">
        <v>1</v>
      </c>
      <c r="AE148">
        <v>0</v>
      </c>
      <c r="AF148" t="s">
        <v>17</v>
      </c>
      <c r="AG148">
        <v>2.2374999999999998</v>
      </c>
      <c r="AH148">
        <v>2</v>
      </c>
      <c r="AI148">
        <v>44966980</v>
      </c>
      <c r="AJ148">
        <v>151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ROW(Source!A83)</f>
        <v>83</v>
      </c>
      <c r="B149">
        <v>44966981</v>
      </c>
      <c r="C149">
        <v>44966976</v>
      </c>
      <c r="D149">
        <v>30571993</v>
      </c>
      <c r="E149">
        <v>1</v>
      </c>
      <c r="F149">
        <v>1</v>
      </c>
      <c r="G149">
        <v>30515945</v>
      </c>
      <c r="H149">
        <v>3</v>
      </c>
      <c r="I149" t="s">
        <v>531</v>
      </c>
      <c r="J149" t="s">
        <v>532</v>
      </c>
      <c r="K149" t="s">
        <v>533</v>
      </c>
      <c r="L149">
        <v>1348</v>
      </c>
      <c r="N149">
        <v>1009</v>
      </c>
      <c r="O149" t="s">
        <v>77</v>
      </c>
      <c r="P149" t="s">
        <v>77</v>
      </c>
      <c r="Q149">
        <v>1000</v>
      </c>
      <c r="X149">
        <v>2.3599999999999999E-2</v>
      </c>
      <c r="Y149">
        <v>1463.45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2.3599999999999999E-2</v>
      </c>
      <c r="AH149">
        <v>2</v>
      </c>
      <c r="AI149">
        <v>44966981</v>
      </c>
      <c r="AJ149">
        <v>152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ROW(Source!A83)</f>
        <v>83</v>
      </c>
      <c r="B150">
        <v>44966982</v>
      </c>
      <c r="C150">
        <v>44966976</v>
      </c>
      <c r="D150">
        <v>30572206</v>
      </c>
      <c r="E150">
        <v>1</v>
      </c>
      <c r="F150">
        <v>1</v>
      </c>
      <c r="G150">
        <v>30515945</v>
      </c>
      <c r="H150">
        <v>3</v>
      </c>
      <c r="I150" t="s">
        <v>534</v>
      </c>
      <c r="J150" t="s">
        <v>535</v>
      </c>
      <c r="K150" t="s">
        <v>536</v>
      </c>
      <c r="L150">
        <v>1327</v>
      </c>
      <c r="N150">
        <v>1005</v>
      </c>
      <c r="O150" t="s">
        <v>36</v>
      </c>
      <c r="P150" t="s">
        <v>36</v>
      </c>
      <c r="Q150">
        <v>1</v>
      </c>
      <c r="X150">
        <v>89</v>
      </c>
      <c r="Y150">
        <v>5.76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89</v>
      </c>
      <c r="AH150">
        <v>2</v>
      </c>
      <c r="AI150">
        <v>44966982</v>
      </c>
      <c r="AJ150">
        <v>153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ROW(Source!A83)</f>
        <v>83</v>
      </c>
      <c r="B151">
        <v>44966983</v>
      </c>
      <c r="C151">
        <v>44966976</v>
      </c>
      <c r="D151">
        <v>30571194</v>
      </c>
      <c r="E151">
        <v>1</v>
      </c>
      <c r="F151">
        <v>1</v>
      </c>
      <c r="G151">
        <v>30515945</v>
      </c>
      <c r="H151">
        <v>3</v>
      </c>
      <c r="I151" t="s">
        <v>537</v>
      </c>
      <c r="J151" t="s">
        <v>538</v>
      </c>
      <c r="K151" t="s">
        <v>539</v>
      </c>
      <c r="L151">
        <v>1348</v>
      </c>
      <c r="N151">
        <v>1009</v>
      </c>
      <c r="O151" t="s">
        <v>77</v>
      </c>
      <c r="P151" t="s">
        <v>77</v>
      </c>
      <c r="Q151">
        <v>1000</v>
      </c>
      <c r="X151">
        <v>4.13E-3</v>
      </c>
      <c r="Y151">
        <v>6521.42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4.13E-3</v>
      </c>
      <c r="AH151">
        <v>2</v>
      </c>
      <c r="AI151">
        <v>44966983</v>
      </c>
      <c r="AJ151">
        <v>154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ROW(Source!A83)</f>
        <v>83</v>
      </c>
      <c r="B152">
        <v>44966984</v>
      </c>
      <c r="C152">
        <v>44966976</v>
      </c>
      <c r="D152">
        <v>30571195</v>
      </c>
      <c r="E152">
        <v>1</v>
      </c>
      <c r="F152">
        <v>1</v>
      </c>
      <c r="G152">
        <v>30515945</v>
      </c>
      <c r="H152">
        <v>3</v>
      </c>
      <c r="I152" t="s">
        <v>540</v>
      </c>
      <c r="J152" t="s">
        <v>541</v>
      </c>
      <c r="K152" t="s">
        <v>542</v>
      </c>
      <c r="L152">
        <v>1348</v>
      </c>
      <c r="N152">
        <v>1009</v>
      </c>
      <c r="O152" t="s">
        <v>77</v>
      </c>
      <c r="P152" t="s">
        <v>77</v>
      </c>
      <c r="Q152">
        <v>1000</v>
      </c>
      <c r="X152">
        <v>2.0999999999999999E-3</v>
      </c>
      <c r="Y152">
        <v>7875.24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2.0999999999999999E-3</v>
      </c>
      <c r="AH152">
        <v>2</v>
      </c>
      <c r="AI152">
        <v>44966984</v>
      </c>
      <c r="AJ152">
        <v>155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ROW(Source!A83)</f>
        <v>83</v>
      </c>
      <c r="B153">
        <v>44966985</v>
      </c>
      <c r="C153">
        <v>44966976</v>
      </c>
      <c r="D153">
        <v>30571207</v>
      </c>
      <c r="E153">
        <v>1</v>
      </c>
      <c r="F153">
        <v>1</v>
      </c>
      <c r="G153">
        <v>30515945</v>
      </c>
      <c r="H153">
        <v>3</v>
      </c>
      <c r="I153" t="s">
        <v>543</v>
      </c>
      <c r="J153" t="s">
        <v>544</v>
      </c>
      <c r="K153" t="s">
        <v>545</v>
      </c>
      <c r="L153">
        <v>1348</v>
      </c>
      <c r="N153">
        <v>1009</v>
      </c>
      <c r="O153" t="s">
        <v>77</v>
      </c>
      <c r="P153" t="s">
        <v>77</v>
      </c>
      <c r="Q153">
        <v>1000</v>
      </c>
      <c r="X153">
        <v>1.6E-2</v>
      </c>
      <c r="Y153">
        <v>1227.3800000000001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1.6E-2</v>
      </c>
      <c r="AH153">
        <v>2</v>
      </c>
      <c r="AI153">
        <v>44966985</v>
      </c>
      <c r="AJ153">
        <v>156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ROW(Source!A83)</f>
        <v>83</v>
      </c>
      <c r="B154">
        <v>44966986</v>
      </c>
      <c r="C154">
        <v>44966976</v>
      </c>
      <c r="D154">
        <v>30571284</v>
      </c>
      <c r="E154">
        <v>1</v>
      </c>
      <c r="F154">
        <v>1</v>
      </c>
      <c r="G154">
        <v>30515945</v>
      </c>
      <c r="H154">
        <v>3</v>
      </c>
      <c r="I154" t="s">
        <v>546</v>
      </c>
      <c r="J154" t="s">
        <v>547</v>
      </c>
      <c r="K154" t="s">
        <v>548</v>
      </c>
      <c r="L154">
        <v>1339</v>
      </c>
      <c r="N154">
        <v>1007</v>
      </c>
      <c r="O154" t="s">
        <v>140</v>
      </c>
      <c r="P154" t="s">
        <v>140</v>
      </c>
      <c r="Q154">
        <v>1</v>
      </c>
      <c r="X154">
        <v>0.08</v>
      </c>
      <c r="Y154">
        <v>1828.56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0.08</v>
      </c>
      <c r="AH154">
        <v>2</v>
      </c>
      <c r="AI154">
        <v>44966986</v>
      </c>
      <c r="AJ154">
        <v>157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ROW(Source!A83)</f>
        <v>83</v>
      </c>
      <c r="B155">
        <v>44966987</v>
      </c>
      <c r="C155">
        <v>44966976</v>
      </c>
      <c r="D155">
        <v>30571721</v>
      </c>
      <c r="E155">
        <v>1</v>
      </c>
      <c r="F155">
        <v>1</v>
      </c>
      <c r="G155">
        <v>30515945</v>
      </c>
      <c r="H155">
        <v>3</v>
      </c>
      <c r="I155" t="s">
        <v>549</v>
      </c>
      <c r="J155" t="s">
        <v>550</v>
      </c>
      <c r="K155" t="s">
        <v>551</v>
      </c>
      <c r="L155">
        <v>1346</v>
      </c>
      <c r="N155">
        <v>1009</v>
      </c>
      <c r="O155" t="s">
        <v>55</v>
      </c>
      <c r="P155" t="s">
        <v>55</v>
      </c>
      <c r="Q155">
        <v>1</v>
      </c>
      <c r="X155">
        <v>108</v>
      </c>
      <c r="Y155">
        <v>9.86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108</v>
      </c>
      <c r="AH155">
        <v>2</v>
      </c>
      <c r="AI155">
        <v>44966987</v>
      </c>
      <c r="AJ155">
        <v>158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ROW(Source!A83)</f>
        <v>83</v>
      </c>
      <c r="B156">
        <v>44966988</v>
      </c>
      <c r="C156">
        <v>44966976</v>
      </c>
      <c r="D156">
        <v>30589701</v>
      </c>
      <c r="E156">
        <v>1</v>
      </c>
      <c r="F156">
        <v>1</v>
      </c>
      <c r="G156">
        <v>30515945</v>
      </c>
      <c r="H156">
        <v>3</v>
      </c>
      <c r="I156" t="s">
        <v>552</v>
      </c>
      <c r="J156" t="s">
        <v>553</v>
      </c>
      <c r="K156" t="s">
        <v>554</v>
      </c>
      <c r="L156">
        <v>1339</v>
      </c>
      <c r="N156">
        <v>1007</v>
      </c>
      <c r="O156" t="s">
        <v>140</v>
      </c>
      <c r="P156" t="s">
        <v>140</v>
      </c>
      <c r="Q156">
        <v>1</v>
      </c>
      <c r="X156">
        <v>0.105</v>
      </c>
      <c r="Y156">
        <v>540.41999999999996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0.105</v>
      </c>
      <c r="AH156">
        <v>2</v>
      </c>
      <c r="AI156">
        <v>44966988</v>
      </c>
      <c r="AJ156">
        <v>159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ROW(Source!A83)</f>
        <v>83</v>
      </c>
      <c r="B157">
        <v>44966989</v>
      </c>
      <c r="C157">
        <v>44966976</v>
      </c>
      <c r="D157">
        <v>30593502</v>
      </c>
      <c r="E157">
        <v>1</v>
      </c>
      <c r="F157">
        <v>1</v>
      </c>
      <c r="G157">
        <v>30515945</v>
      </c>
      <c r="H157">
        <v>3</v>
      </c>
      <c r="I157" t="s">
        <v>555</v>
      </c>
      <c r="J157" t="s">
        <v>556</v>
      </c>
      <c r="K157" t="s">
        <v>557</v>
      </c>
      <c r="L157">
        <v>1346</v>
      </c>
      <c r="N157">
        <v>1009</v>
      </c>
      <c r="O157" t="s">
        <v>55</v>
      </c>
      <c r="P157" t="s">
        <v>55</v>
      </c>
      <c r="Q157">
        <v>1</v>
      </c>
      <c r="X157">
        <v>37.5</v>
      </c>
      <c r="Y157">
        <v>4.37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37.5</v>
      </c>
      <c r="AH157">
        <v>2</v>
      </c>
      <c r="AI157">
        <v>44966989</v>
      </c>
      <c r="AJ157">
        <v>160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ROW(Source!A83)</f>
        <v>83</v>
      </c>
      <c r="B158">
        <v>44966990</v>
      </c>
      <c r="C158">
        <v>44966976</v>
      </c>
      <c r="D158">
        <v>41889419</v>
      </c>
      <c r="E158">
        <v>30515945</v>
      </c>
      <c r="F158">
        <v>1</v>
      </c>
      <c r="G158">
        <v>30515945</v>
      </c>
      <c r="H158">
        <v>3</v>
      </c>
      <c r="I158" t="s">
        <v>637</v>
      </c>
      <c r="J158" t="s">
        <v>3</v>
      </c>
      <c r="K158" t="s">
        <v>638</v>
      </c>
      <c r="L158">
        <v>1391</v>
      </c>
      <c r="N158">
        <v>1013</v>
      </c>
      <c r="O158" t="s">
        <v>113</v>
      </c>
      <c r="P158" t="s">
        <v>113</v>
      </c>
      <c r="Q158">
        <v>1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 t="s">
        <v>3</v>
      </c>
      <c r="AG158">
        <v>0</v>
      </c>
      <c r="AH158">
        <v>3</v>
      </c>
      <c r="AI158">
        <v>-1</v>
      </c>
      <c r="AJ158" t="s">
        <v>3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ROW(Source!A83)</f>
        <v>83</v>
      </c>
      <c r="B159">
        <v>44966991</v>
      </c>
      <c r="C159">
        <v>44966976</v>
      </c>
      <c r="D159">
        <v>30532669</v>
      </c>
      <c r="E159">
        <v>30515945</v>
      </c>
      <c r="F159">
        <v>1</v>
      </c>
      <c r="G159">
        <v>30515945</v>
      </c>
      <c r="H159">
        <v>3</v>
      </c>
      <c r="I159" t="s">
        <v>639</v>
      </c>
      <c r="J159" t="s">
        <v>3</v>
      </c>
      <c r="K159" t="s">
        <v>640</v>
      </c>
      <c r="L159">
        <v>1327</v>
      </c>
      <c r="N159">
        <v>1005</v>
      </c>
      <c r="O159" t="s">
        <v>36</v>
      </c>
      <c r="P159" t="s">
        <v>36</v>
      </c>
      <c r="Q159">
        <v>1</v>
      </c>
      <c r="X159">
        <v>100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 t="s">
        <v>3</v>
      </c>
      <c r="AG159">
        <v>100</v>
      </c>
      <c r="AH159">
        <v>3</v>
      </c>
      <c r="AI159">
        <v>-1</v>
      </c>
      <c r="AJ159" t="s">
        <v>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ROW(Source!A86)</f>
        <v>86</v>
      </c>
      <c r="B160">
        <v>44964406</v>
      </c>
      <c r="C160">
        <v>44964401</v>
      </c>
      <c r="D160">
        <v>30515951</v>
      </c>
      <c r="E160">
        <v>30515945</v>
      </c>
      <c r="F160">
        <v>1</v>
      </c>
      <c r="G160">
        <v>30515945</v>
      </c>
      <c r="H160">
        <v>1</v>
      </c>
      <c r="I160" t="s">
        <v>388</v>
      </c>
      <c r="J160" t="s">
        <v>3</v>
      </c>
      <c r="K160" t="s">
        <v>389</v>
      </c>
      <c r="L160">
        <v>1191</v>
      </c>
      <c r="N160">
        <v>1013</v>
      </c>
      <c r="O160" t="s">
        <v>390</v>
      </c>
      <c r="P160" t="s">
        <v>390</v>
      </c>
      <c r="Q160">
        <v>1</v>
      </c>
      <c r="X160">
        <v>7.82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1</v>
      </c>
      <c r="AF160" t="s">
        <v>18</v>
      </c>
      <c r="AG160">
        <v>8.9930000000000003</v>
      </c>
      <c r="AH160">
        <v>2</v>
      </c>
      <c r="AI160">
        <v>44964402</v>
      </c>
      <c r="AJ160">
        <v>163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ROW(Source!A86)</f>
        <v>86</v>
      </c>
      <c r="B161">
        <v>44964407</v>
      </c>
      <c r="C161">
        <v>44964401</v>
      </c>
      <c r="D161">
        <v>30516999</v>
      </c>
      <c r="E161">
        <v>30515945</v>
      </c>
      <c r="F161">
        <v>1</v>
      </c>
      <c r="G161">
        <v>30515945</v>
      </c>
      <c r="H161">
        <v>2</v>
      </c>
      <c r="I161" t="s">
        <v>438</v>
      </c>
      <c r="J161" t="s">
        <v>3</v>
      </c>
      <c r="K161" t="s">
        <v>439</v>
      </c>
      <c r="L161">
        <v>1344</v>
      </c>
      <c r="N161">
        <v>1008</v>
      </c>
      <c r="O161" t="s">
        <v>440</v>
      </c>
      <c r="P161" t="s">
        <v>440</v>
      </c>
      <c r="Q161">
        <v>1</v>
      </c>
      <c r="X161">
        <v>3.72</v>
      </c>
      <c r="Y161">
        <v>0</v>
      </c>
      <c r="Z161">
        <v>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17</v>
      </c>
      <c r="AG161">
        <v>4.6500000000000004</v>
      </c>
      <c r="AH161">
        <v>2</v>
      </c>
      <c r="AI161">
        <v>44964403</v>
      </c>
      <c r="AJ161">
        <v>164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ROW(Source!A86)</f>
        <v>86</v>
      </c>
      <c r="B162">
        <v>44964408</v>
      </c>
      <c r="C162">
        <v>44964401</v>
      </c>
      <c r="D162">
        <v>30532358</v>
      </c>
      <c r="E162">
        <v>30515945</v>
      </c>
      <c r="F162">
        <v>1</v>
      </c>
      <c r="G162">
        <v>30515945</v>
      </c>
      <c r="H162">
        <v>3</v>
      </c>
      <c r="I162" t="s">
        <v>641</v>
      </c>
      <c r="J162" t="s">
        <v>3</v>
      </c>
      <c r="K162" t="s">
        <v>642</v>
      </c>
      <c r="L162">
        <v>1301</v>
      </c>
      <c r="N162">
        <v>1003</v>
      </c>
      <c r="O162" t="s">
        <v>26</v>
      </c>
      <c r="P162" t="s">
        <v>26</v>
      </c>
      <c r="Q162">
        <v>1</v>
      </c>
      <c r="X162">
        <v>112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 t="s">
        <v>3</v>
      </c>
      <c r="AG162">
        <v>112</v>
      </c>
      <c r="AH162">
        <v>3</v>
      </c>
      <c r="AI162">
        <v>-1</v>
      </c>
      <c r="AJ162" t="s">
        <v>3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ROW(Source!A86)</f>
        <v>86</v>
      </c>
      <c r="B163">
        <v>44964409</v>
      </c>
      <c r="C163">
        <v>44964401</v>
      </c>
      <c r="D163">
        <v>30541208</v>
      </c>
      <c r="E163">
        <v>30515945</v>
      </c>
      <c r="F163">
        <v>1</v>
      </c>
      <c r="G163">
        <v>30515945</v>
      </c>
      <c r="H163">
        <v>3</v>
      </c>
      <c r="I163" t="s">
        <v>453</v>
      </c>
      <c r="J163" t="s">
        <v>3</v>
      </c>
      <c r="K163" t="s">
        <v>454</v>
      </c>
      <c r="L163">
        <v>1344</v>
      </c>
      <c r="N163">
        <v>1008</v>
      </c>
      <c r="O163" t="s">
        <v>440</v>
      </c>
      <c r="P163" t="s">
        <v>440</v>
      </c>
      <c r="Q163">
        <v>1</v>
      </c>
      <c r="X163">
        <v>1.75</v>
      </c>
      <c r="Y163">
        <v>1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1.75</v>
      </c>
      <c r="AH163">
        <v>2</v>
      </c>
      <c r="AI163">
        <v>44964405</v>
      </c>
      <c r="AJ163">
        <v>166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ROW(Source!A88)</f>
        <v>88</v>
      </c>
      <c r="B164">
        <v>44964674</v>
      </c>
      <c r="C164">
        <v>44964673</v>
      </c>
      <c r="D164">
        <v>30515951</v>
      </c>
      <c r="E164">
        <v>30515945</v>
      </c>
      <c r="F164">
        <v>1</v>
      </c>
      <c r="G164">
        <v>30515945</v>
      </c>
      <c r="H164">
        <v>1</v>
      </c>
      <c r="I164" t="s">
        <v>388</v>
      </c>
      <c r="J164" t="s">
        <v>3</v>
      </c>
      <c r="K164" t="s">
        <v>389</v>
      </c>
      <c r="L164">
        <v>1191</v>
      </c>
      <c r="N164">
        <v>1013</v>
      </c>
      <c r="O164" t="s">
        <v>390</v>
      </c>
      <c r="P164" t="s">
        <v>390</v>
      </c>
      <c r="Q164">
        <v>1</v>
      </c>
      <c r="X164">
        <v>1.1100000000000001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1</v>
      </c>
      <c r="AF164" t="s">
        <v>18</v>
      </c>
      <c r="AG164">
        <v>1.2765</v>
      </c>
      <c r="AH164">
        <v>2</v>
      </c>
      <c r="AI164">
        <v>44964674</v>
      </c>
      <c r="AJ164">
        <v>167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ROW(Source!A88)</f>
        <v>88</v>
      </c>
      <c r="B165">
        <v>44964675</v>
      </c>
      <c r="C165">
        <v>44964673</v>
      </c>
      <c r="D165">
        <v>30595791</v>
      </c>
      <c r="E165">
        <v>1</v>
      </c>
      <c r="F165">
        <v>1</v>
      </c>
      <c r="G165">
        <v>30515945</v>
      </c>
      <c r="H165">
        <v>2</v>
      </c>
      <c r="I165" t="s">
        <v>558</v>
      </c>
      <c r="J165" t="s">
        <v>559</v>
      </c>
      <c r="K165" t="s">
        <v>560</v>
      </c>
      <c r="L165">
        <v>1367</v>
      </c>
      <c r="N165">
        <v>1011</v>
      </c>
      <c r="O165" t="s">
        <v>394</v>
      </c>
      <c r="P165" t="s">
        <v>394</v>
      </c>
      <c r="Q165">
        <v>1</v>
      </c>
      <c r="X165">
        <v>0.26</v>
      </c>
      <c r="Y165">
        <v>0</v>
      </c>
      <c r="Z165">
        <v>6.22</v>
      </c>
      <c r="AA165">
        <v>0.28999999999999998</v>
      </c>
      <c r="AB165">
        <v>0</v>
      </c>
      <c r="AC165">
        <v>0</v>
      </c>
      <c r="AD165">
        <v>1</v>
      </c>
      <c r="AE165">
        <v>0</v>
      </c>
      <c r="AF165" t="s">
        <v>17</v>
      </c>
      <c r="AG165">
        <v>0.32500000000000001</v>
      </c>
      <c r="AH165">
        <v>2</v>
      </c>
      <c r="AI165">
        <v>44964675</v>
      </c>
      <c r="AJ165">
        <v>168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ROW(Source!A88)</f>
        <v>88</v>
      </c>
      <c r="B166">
        <v>44964676</v>
      </c>
      <c r="C166">
        <v>44964673</v>
      </c>
      <c r="D166">
        <v>30596120</v>
      </c>
      <c r="E166">
        <v>1</v>
      </c>
      <c r="F166">
        <v>1</v>
      </c>
      <c r="G166">
        <v>30515945</v>
      </c>
      <c r="H166">
        <v>2</v>
      </c>
      <c r="I166" t="s">
        <v>561</v>
      </c>
      <c r="J166" t="s">
        <v>562</v>
      </c>
      <c r="K166" t="s">
        <v>563</v>
      </c>
      <c r="L166">
        <v>1367</v>
      </c>
      <c r="N166">
        <v>1011</v>
      </c>
      <c r="O166" t="s">
        <v>394</v>
      </c>
      <c r="P166" t="s">
        <v>394</v>
      </c>
      <c r="Q166">
        <v>1</v>
      </c>
      <c r="X166">
        <v>0.02</v>
      </c>
      <c r="Y166">
        <v>0</v>
      </c>
      <c r="Z166">
        <v>0.68</v>
      </c>
      <c r="AA166">
        <v>0.04</v>
      </c>
      <c r="AB166">
        <v>0</v>
      </c>
      <c r="AC166">
        <v>0</v>
      </c>
      <c r="AD166">
        <v>1</v>
      </c>
      <c r="AE166">
        <v>0</v>
      </c>
      <c r="AF166" t="s">
        <v>17</v>
      </c>
      <c r="AG166">
        <v>2.5000000000000001E-2</v>
      </c>
      <c r="AH166">
        <v>2</v>
      </c>
      <c r="AI166">
        <v>44964676</v>
      </c>
      <c r="AJ166">
        <v>169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ROW(Source!A88)</f>
        <v>88</v>
      </c>
      <c r="B167">
        <v>44964677</v>
      </c>
      <c r="C167">
        <v>44964673</v>
      </c>
      <c r="D167">
        <v>30596154</v>
      </c>
      <c r="E167">
        <v>1</v>
      </c>
      <c r="F167">
        <v>1</v>
      </c>
      <c r="G167">
        <v>30515945</v>
      </c>
      <c r="H167">
        <v>2</v>
      </c>
      <c r="I167" t="s">
        <v>401</v>
      </c>
      <c r="J167" t="s">
        <v>402</v>
      </c>
      <c r="K167" t="s">
        <v>403</v>
      </c>
      <c r="L167">
        <v>1367</v>
      </c>
      <c r="N167">
        <v>1011</v>
      </c>
      <c r="O167" t="s">
        <v>394</v>
      </c>
      <c r="P167" t="s">
        <v>394</v>
      </c>
      <c r="Q167">
        <v>1</v>
      </c>
      <c r="X167">
        <v>0.15</v>
      </c>
      <c r="Y167">
        <v>0</v>
      </c>
      <c r="Z167">
        <v>0.64</v>
      </c>
      <c r="AA167">
        <v>0.04</v>
      </c>
      <c r="AB167">
        <v>0</v>
      </c>
      <c r="AC167">
        <v>0</v>
      </c>
      <c r="AD167">
        <v>1</v>
      </c>
      <c r="AE167">
        <v>0</v>
      </c>
      <c r="AF167" t="s">
        <v>17</v>
      </c>
      <c r="AG167">
        <v>0.1875</v>
      </c>
      <c r="AH167">
        <v>2</v>
      </c>
      <c r="AI167">
        <v>44964677</v>
      </c>
      <c r="AJ167">
        <v>170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ROW(Source!A88)</f>
        <v>88</v>
      </c>
      <c r="B168">
        <v>44964678</v>
      </c>
      <c r="C168">
        <v>44964673</v>
      </c>
      <c r="D168">
        <v>30596108</v>
      </c>
      <c r="E168">
        <v>1</v>
      </c>
      <c r="F168">
        <v>1</v>
      </c>
      <c r="G168">
        <v>30515945</v>
      </c>
      <c r="H168">
        <v>2</v>
      </c>
      <c r="I168" t="s">
        <v>488</v>
      </c>
      <c r="J168" t="s">
        <v>489</v>
      </c>
      <c r="K168" t="s">
        <v>490</v>
      </c>
      <c r="L168">
        <v>1367</v>
      </c>
      <c r="N168">
        <v>1011</v>
      </c>
      <c r="O168" t="s">
        <v>394</v>
      </c>
      <c r="P168" t="s">
        <v>394</v>
      </c>
      <c r="Q168">
        <v>1</v>
      </c>
      <c r="X168">
        <v>0.11</v>
      </c>
      <c r="Y168">
        <v>0</v>
      </c>
      <c r="Z168">
        <v>2.36</v>
      </c>
      <c r="AA168">
        <v>0.1</v>
      </c>
      <c r="AB168">
        <v>0</v>
      </c>
      <c r="AC168">
        <v>0</v>
      </c>
      <c r="AD168">
        <v>1</v>
      </c>
      <c r="AE168">
        <v>0</v>
      </c>
      <c r="AF168" t="s">
        <v>17</v>
      </c>
      <c r="AG168">
        <v>0.13750000000000001</v>
      </c>
      <c r="AH168">
        <v>2</v>
      </c>
      <c r="AI168">
        <v>44964678</v>
      </c>
      <c r="AJ168">
        <v>171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ROW(Source!A88)</f>
        <v>88</v>
      </c>
      <c r="B169">
        <v>44964679</v>
      </c>
      <c r="C169">
        <v>44964673</v>
      </c>
      <c r="D169">
        <v>30573429</v>
      </c>
      <c r="E169">
        <v>1</v>
      </c>
      <c r="F169">
        <v>1</v>
      </c>
      <c r="G169">
        <v>30515945</v>
      </c>
      <c r="H169">
        <v>3</v>
      </c>
      <c r="I169" t="s">
        <v>564</v>
      </c>
      <c r="J169" t="s">
        <v>565</v>
      </c>
      <c r="K169" t="s">
        <v>566</v>
      </c>
      <c r="L169">
        <v>1346</v>
      </c>
      <c r="N169">
        <v>1009</v>
      </c>
      <c r="O169" t="s">
        <v>55</v>
      </c>
      <c r="P169" t="s">
        <v>55</v>
      </c>
      <c r="Q169">
        <v>1</v>
      </c>
      <c r="X169">
        <v>0.02</v>
      </c>
      <c r="Y169">
        <v>20.63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0.02</v>
      </c>
      <c r="AH169">
        <v>2</v>
      </c>
      <c r="AI169">
        <v>44964679</v>
      </c>
      <c r="AJ169">
        <v>172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ROW(Source!A88)</f>
        <v>88</v>
      </c>
      <c r="B170">
        <v>44964680</v>
      </c>
      <c r="C170">
        <v>44964673</v>
      </c>
      <c r="D170">
        <v>38719468</v>
      </c>
      <c r="E170">
        <v>30515945</v>
      </c>
      <c r="F170">
        <v>1</v>
      </c>
      <c r="G170">
        <v>30515945</v>
      </c>
      <c r="H170">
        <v>3</v>
      </c>
      <c r="I170" t="s">
        <v>643</v>
      </c>
      <c r="J170" t="s">
        <v>3</v>
      </c>
      <c r="K170" t="s">
        <v>644</v>
      </c>
      <c r="L170">
        <v>1354</v>
      </c>
      <c r="N170">
        <v>1010</v>
      </c>
      <c r="O170" t="s">
        <v>270</v>
      </c>
      <c r="P170" t="s">
        <v>270</v>
      </c>
      <c r="Q170">
        <v>1</v>
      </c>
      <c r="X170">
        <v>1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 t="s">
        <v>3</v>
      </c>
      <c r="AG170">
        <v>1</v>
      </c>
      <c r="AH170">
        <v>3</v>
      </c>
      <c r="AI170">
        <v>-1</v>
      </c>
      <c r="AJ170" t="s">
        <v>3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ROW(Source!A90)</f>
        <v>90</v>
      </c>
      <c r="B171">
        <v>44965753</v>
      </c>
      <c r="C171">
        <v>44965752</v>
      </c>
      <c r="D171">
        <v>30515951</v>
      </c>
      <c r="E171">
        <v>30515945</v>
      </c>
      <c r="F171">
        <v>1</v>
      </c>
      <c r="G171">
        <v>30515945</v>
      </c>
      <c r="H171">
        <v>1</v>
      </c>
      <c r="I171" t="s">
        <v>388</v>
      </c>
      <c r="J171" t="s">
        <v>3</v>
      </c>
      <c r="K171" t="s">
        <v>389</v>
      </c>
      <c r="L171">
        <v>1191</v>
      </c>
      <c r="N171">
        <v>1013</v>
      </c>
      <c r="O171" t="s">
        <v>390</v>
      </c>
      <c r="P171" t="s">
        <v>390</v>
      </c>
      <c r="Q171">
        <v>1</v>
      </c>
      <c r="X171">
        <v>3.97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1</v>
      </c>
      <c r="AF171" t="s">
        <v>18</v>
      </c>
      <c r="AG171">
        <v>4.5655000000000001</v>
      </c>
      <c r="AH171">
        <v>2</v>
      </c>
      <c r="AI171">
        <v>44965753</v>
      </c>
      <c r="AJ171">
        <v>174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ROW(Source!A90)</f>
        <v>90</v>
      </c>
      <c r="B172">
        <v>44965754</v>
      </c>
      <c r="C172">
        <v>44965752</v>
      </c>
      <c r="D172">
        <v>30516999</v>
      </c>
      <c r="E172">
        <v>30515945</v>
      </c>
      <c r="F172">
        <v>1</v>
      </c>
      <c r="G172">
        <v>30515945</v>
      </c>
      <c r="H172">
        <v>2</v>
      </c>
      <c r="I172" t="s">
        <v>438</v>
      </c>
      <c r="J172" t="s">
        <v>3</v>
      </c>
      <c r="K172" t="s">
        <v>439</v>
      </c>
      <c r="L172">
        <v>1344</v>
      </c>
      <c r="N172">
        <v>1008</v>
      </c>
      <c r="O172" t="s">
        <v>440</v>
      </c>
      <c r="P172" t="s">
        <v>440</v>
      </c>
      <c r="Q172">
        <v>1</v>
      </c>
      <c r="X172">
        <v>0.42</v>
      </c>
      <c r="Y172">
        <v>0</v>
      </c>
      <c r="Z172">
        <v>1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17</v>
      </c>
      <c r="AG172">
        <v>0.52500000000000002</v>
      </c>
      <c r="AH172">
        <v>2</v>
      </c>
      <c r="AI172">
        <v>44965754</v>
      </c>
      <c r="AJ172">
        <v>175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ROW(Source!A90)</f>
        <v>90</v>
      </c>
      <c r="B173">
        <v>44965755</v>
      </c>
      <c r="C173">
        <v>44965752</v>
      </c>
      <c r="D173">
        <v>30571178</v>
      </c>
      <c r="E173">
        <v>1</v>
      </c>
      <c r="F173">
        <v>1</v>
      </c>
      <c r="G173">
        <v>30515945</v>
      </c>
      <c r="H173">
        <v>3</v>
      </c>
      <c r="I173" t="s">
        <v>497</v>
      </c>
      <c r="J173" t="s">
        <v>498</v>
      </c>
      <c r="K173" t="s">
        <v>499</v>
      </c>
      <c r="L173">
        <v>1346</v>
      </c>
      <c r="N173">
        <v>1009</v>
      </c>
      <c r="O173" t="s">
        <v>55</v>
      </c>
      <c r="P173" t="s">
        <v>55</v>
      </c>
      <c r="Q173">
        <v>1</v>
      </c>
      <c r="X173">
        <v>1</v>
      </c>
      <c r="Y173">
        <v>1.61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1</v>
      </c>
      <c r="AH173">
        <v>2</v>
      </c>
      <c r="AI173">
        <v>44965755</v>
      </c>
      <c r="AJ173">
        <v>176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ROW(Source!A90)</f>
        <v>90</v>
      </c>
      <c r="B174">
        <v>44965756</v>
      </c>
      <c r="C174">
        <v>44965752</v>
      </c>
      <c r="D174">
        <v>41889422</v>
      </c>
      <c r="E174">
        <v>30515945</v>
      </c>
      <c r="F174">
        <v>1</v>
      </c>
      <c r="G174">
        <v>30515945</v>
      </c>
      <c r="H174">
        <v>3</v>
      </c>
      <c r="I174" t="s">
        <v>645</v>
      </c>
      <c r="J174" t="s">
        <v>3</v>
      </c>
      <c r="K174" t="s">
        <v>646</v>
      </c>
      <c r="L174">
        <v>1391</v>
      </c>
      <c r="N174">
        <v>1013</v>
      </c>
      <c r="O174" t="s">
        <v>113</v>
      </c>
      <c r="P174" t="s">
        <v>113</v>
      </c>
      <c r="Q174">
        <v>1</v>
      </c>
      <c r="X174">
        <v>10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 t="s">
        <v>3</v>
      </c>
      <c r="AG174">
        <v>10</v>
      </c>
      <c r="AH174">
        <v>3</v>
      </c>
      <c r="AI174">
        <v>-1</v>
      </c>
      <c r="AJ174" t="s">
        <v>3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ROW(Source!A92)</f>
        <v>92</v>
      </c>
      <c r="B175">
        <v>44965765</v>
      </c>
      <c r="C175">
        <v>44965764</v>
      </c>
      <c r="D175">
        <v>30515951</v>
      </c>
      <c r="E175">
        <v>30515945</v>
      </c>
      <c r="F175">
        <v>1</v>
      </c>
      <c r="G175">
        <v>30515945</v>
      </c>
      <c r="H175">
        <v>1</v>
      </c>
      <c r="I175" t="s">
        <v>388</v>
      </c>
      <c r="J175" t="s">
        <v>3</v>
      </c>
      <c r="K175" t="s">
        <v>389</v>
      </c>
      <c r="L175">
        <v>1191</v>
      </c>
      <c r="N175">
        <v>1013</v>
      </c>
      <c r="O175" t="s">
        <v>390</v>
      </c>
      <c r="P175" t="s">
        <v>390</v>
      </c>
      <c r="Q175">
        <v>1</v>
      </c>
      <c r="X175">
        <v>257.04000000000002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1</v>
      </c>
      <c r="AF175" t="s">
        <v>18</v>
      </c>
      <c r="AG175">
        <v>295.596</v>
      </c>
      <c r="AH175">
        <v>2</v>
      </c>
      <c r="AI175">
        <v>44965765</v>
      </c>
      <c r="AJ175">
        <v>178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ROW(Source!A92)</f>
        <v>92</v>
      </c>
      <c r="B176">
        <v>44965766</v>
      </c>
      <c r="C176">
        <v>44965764</v>
      </c>
      <c r="D176">
        <v>30596128</v>
      </c>
      <c r="E176">
        <v>1</v>
      </c>
      <c r="F176">
        <v>1</v>
      </c>
      <c r="G176">
        <v>30515945</v>
      </c>
      <c r="H176">
        <v>2</v>
      </c>
      <c r="I176" t="s">
        <v>506</v>
      </c>
      <c r="J176" t="s">
        <v>507</v>
      </c>
      <c r="K176" t="s">
        <v>508</v>
      </c>
      <c r="L176">
        <v>1367</v>
      </c>
      <c r="N176">
        <v>1011</v>
      </c>
      <c r="O176" t="s">
        <v>394</v>
      </c>
      <c r="P176" t="s">
        <v>394</v>
      </c>
      <c r="Q176">
        <v>1</v>
      </c>
      <c r="X176">
        <v>22.4</v>
      </c>
      <c r="Y176">
        <v>0</v>
      </c>
      <c r="Z176">
        <v>0.81</v>
      </c>
      <c r="AA176">
        <v>0.03</v>
      </c>
      <c r="AB176">
        <v>0</v>
      </c>
      <c r="AC176">
        <v>0</v>
      </c>
      <c r="AD176">
        <v>1</v>
      </c>
      <c r="AE176">
        <v>0</v>
      </c>
      <c r="AF176" t="s">
        <v>17</v>
      </c>
      <c r="AG176">
        <v>28</v>
      </c>
      <c r="AH176">
        <v>2</v>
      </c>
      <c r="AI176">
        <v>44965766</v>
      </c>
      <c r="AJ176">
        <v>179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ROW(Source!A92)</f>
        <v>92</v>
      </c>
      <c r="B177">
        <v>44965767</v>
      </c>
      <c r="C177">
        <v>44965764</v>
      </c>
      <c r="D177">
        <v>30596154</v>
      </c>
      <c r="E177">
        <v>1</v>
      </c>
      <c r="F177">
        <v>1</v>
      </c>
      <c r="G177">
        <v>30515945</v>
      </c>
      <c r="H177">
        <v>2</v>
      </c>
      <c r="I177" t="s">
        <v>401</v>
      </c>
      <c r="J177" t="s">
        <v>402</v>
      </c>
      <c r="K177" t="s">
        <v>403</v>
      </c>
      <c r="L177">
        <v>1367</v>
      </c>
      <c r="N177">
        <v>1011</v>
      </c>
      <c r="O177" t="s">
        <v>394</v>
      </c>
      <c r="P177" t="s">
        <v>394</v>
      </c>
      <c r="Q177">
        <v>1</v>
      </c>
      <c r="X177">
        <v>16.7</v>
      </c>
      <c r="Y177">
        <v>0</v>
      </c>
      <c r="Z177">
        <v>0.64</v>
      </c>
      <c r="AA177">
        <v>0.04</v>
      </c>
      <c r="AB177">
        <v>0</v>
      </c>
      <c r="AC177">
        <v>0</v>
      </c>
      <c r="AD177">
        <v>1</v>
      </c>
      <c r="AE177">
        <v>0</v>
      </c>
      <c r="AF177" t="s">
        <v>17</v>
      </c>
      <c r="AG177">
        <v>20.875</v>
      </c>
      <c r="AH177">
        <v>2</v>
      </c>
      <c r="AI177">
        <v>44965767</v>
      </c>
      <c r="AJ177">
        <v>180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ROW(Source!A92)</f>
        <v>92</v>
      </c>
      <c r="B178">
        <v>44965768</v>
      </c>
      <c r="C178">
        <v>44965764</v>
      </c>
      <c r="D178">
        <v>30596108</v>
      </c>
      <c r="E178">
        <v>1</v>
      </c>
      <c r="F178">
        <v>1</v>
      </c>
      <c r="G178">
        <v>30515945</v>
      </c>
      <c r="H178">
        <v>2</v>
      </c>
      <c r="I178" t="s">
        <v>488</v>
      </c>
      <c r="J178" t="s">
        <v>489</v>
      </c>
      <c r="K178" t="s">
        <v>490</v>
      </c>
      <c r="L178">
        <v>1367</v>
      </c>
      <c r="N178">
        <v>1011</v>
      </c>
      <c r="O178" t="s">
        <v>394</v>
      </c>
      <c r="P178" t="s">
        <v>394</v>
      </c>
      <c r="Q178">
        <v>1</v>
      </c>
      <c r="X178">
        <v>33.299999999999997</v>
      </c>
      <c r="Y178">
        <v>0</v>
      </c>
      <c r="Z178">
        <v>2.36</v>
      </c>
      <c r="AA178">
        <v>0.1</v>
      </c>
      <c r="AB178">
        <v>0</v>
      </c>
      <c r="AC178">
        <v>0</v>
      </c>
      <c r="AD178">
        <v>1</v>
      </c>
      <c r="AE178">
        <v>0</v>
      </c>
      <c r="AF178" t="s">
        <v>17</v>
      </c>
      <c r="AG178">
        <v>41.625</v>
      </c>
      <c r="AH178">
        <v>2</v>
      </c>
      <c r="AI178">
        <v>44965768</v>
      </c>
      <c r="AJ178">
        <v>181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ROW(Source!A92)</f>
        <v>92</v>
      </c>
      <c r="B179">
        <v>44965769</v>
      </c>
      <c r="C179">
        <v>44965764</v>
      </c>
      <c r="D179">
        <v>30572990</v>
      </c>
      <c r="E179">
        <v>1</v>
      </c>
      <c r="F179">
        <v>1</v>
      </c>
      <c r="G179">
        <v>30515945</v>
      </c>
      <c r="H179">
        <v>3</v>
      </c>
      <c r="I179" t="s">
        <v>567</v>
      </c>
      <c r="J179" t="s">
        <v>568</v>
      </c>
      <c r="K179" t="s">
        <v>569</v>
      </c>
      <c r="L179">
        <v>1355</v>
      </c>
      <c r="N179">
        <v>1010</v>
      </c>
      <c r="O179" t="s">
        <v>419</v>
      </c>
      <c r="P179" t="s">
        <v>419</v>
      </c>
      <c r="Q179">
        <v>100</v>
      </c>
      <c r="X179">
        <v>12.15</v>
      </c>
      <c r="Y179">
        <v>64.260000000000005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12.15</v>
      </c>
      <c r="AH179">
        <v>2</v>
      </c>
      <c r="AI179">
        <v>44965769</v>
      </c>
      <c r="AJ179">
        <v>182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ROW(Source!A92)</f>
        <v>92</v>
      </c>
      <c r="B180">
        <v>44965770</v>
      </c>
      <c r="C180">
        <v>44965764</v>
      </c>
      <c r="D180">
        <v>30572991</v>
      </c>
      <c r="E180">
        <v>1</v>
      </c>
      <c r="F180">
        <v>1</v>
      </c>
      <c r="G180">
        <v>30515945</v>
      </c>
      <c r="H180">
        <v>3</v>
      </c>
      <c r="I180" t="s">
        <v>570</v>
      </c>
      <c r="J180" t="s">
        <v>571</v>
      </c>
      <c r="K180" t="s">
        <v>572</v>
      </c>
      <c r="L180">
        <v>1355</v>
      </c>
      <c r="N180">
        <v>1010</v>
      </c>
      <c r="O180" t="s">
        <v>419</v>
      </c>
      <c r="P180" t="s">
        <v>419</v>
      </c>
      <c r="Q180">
        <v>100</v>
      </c>
      <c r="X180">
        <v>1.02</v>
      </c>
      <c r="Y180">
        <v>89.96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1.02</v>
      </c>
      <c r="AH180">
        <v>2</v>
      </c>
      <c r="AI180">
        <v>44965770</v>
      </c>
      <c r="AJ180">
        <v>183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ROW(Source!A92)</f>
        <v>92</v>
      </c>
      <c r="B181">
        <v>44965771</v>
      </c>
      <c r="C181">
        <v>44965764</v>
      </c>
      <c r="D181">
        <v>30572992</v>
      </c>
      <c r="E181">
        <v>1</v>
      </c>
      <c r="F181">
        <v>1</v>
      </c>
      <c r="G181">
        <v>30515945</v>
      </c>
      <c r="H181">
        <v>3</v>
      </c>
      <c r="I181" t="s">
        <v>573</v>
      </c>
      <c r="J181" t="s">
        <v>574</v>
      </c>
      <c r="K181" t="s">
        <v>575</v>
      </c>
      <c r="L181">
        <v>1355</v>
      </c>
      <c r="N181">
        <v>1010</v>
      </c>
      <c r="O181" t="s">
        <v>419</v>
      </c>
      <c r="P181" t="s">
        <v>419</v>
      </c>
      <c r="Q181">
        <v>100</v>
      </c>
      <c r="X181">
        <v>12.15</v>
      </c>
      <c r="Y181">
        <v>247.4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3</v>
      </c>
      <c r="AG181">
        <v>12.15</v>
      </c>
      <c r="AH181">
        <v>2</v>
      </c>
      <c r="AI181">
        <v>44965771</v>
      </c>
      <c r="AJ181">
        <v>184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ROW(Source!A92)</f>
        <v>92</v>
      </c>
      <c r="B182">
        <v>44965772</v>
      </c>
      <c r="C182">
        <v>44965764</v>
      </c>
      <c r="D182">
        <v>30592986</v>
      </c>
      <c r="E182">
        <v>1</v>
      </c>
      <c r="F182">
        <v>1</v>
      </c>
      <c r="G182">
        <v>30515945</v>
      </c>
      <c r="H182">
        <v>3</v>
      </c>
      <c r="I182" t="s">
        <v>576</v>
      </c>
      <c r="J182" t="s">
        <v>577</v>
      </c>
      <c r="K182" t="s">
        <v>578</v>
      </c>
      <c r="L182">
        <v>1327</v>
      </c>
      <c r="N182">
        <v>1005</v>
      </c>
      <c r="O182" t="s">
        <v>36</v>
      </c>
      <c r="P182" t="s">
        <v>36</v>
      </c>
      <c r="Q182">
        <v>1</v>
      </c>
      <c r="X182">
        <v>26.7</v>
      </c>
      <c r="Y182">
        <v>59.35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3</v>
      </c>
      <c r="AG182">
        <v>26.7</v>
      </c>
      <c r="AH182">
        <v>2</v>
      </c>
      <c r="AI182">
        <v>44965772</v>
      </c>
      <c r="AJ182">
        <v>185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ROW(Source!A92)</f>
        <v>92</v>
      </c>
      <c r="B183">
        <v>44965773</v>
      </c>
      <c r="C183">
        <v>44965764</v>
      </c>
      <c r="D183">
        <v>30592987</v>
      </c>
      <c r="E183">
        <v>1</v>
      </c>
      <c r="F183">
        <v>1</v>
      </c>
      <c r="G183">
        <v>30515945</v>
      </c>
      <c r="H183">
        <v>3</v>
      </c>
      <c r="I183" t="s">
        <v>579</v>
      </c>
      <c r="J183" t="s">
        <v>580</v>
      </c>
      <c r="K183" t="s">
        <v>581</v>
      </c>
      <c r="L183">
        <v>1327</v>
      </c>
      <c r="N183">
        <v>1005</v>
      </c>
      <c r="O183" t="s">
        <v>36</v>
      </c>
      <c r="P183" t="s">
        <v>36</v>
      </c>
      <c r="Q183">
        <v>1</v>
      </c>
      <c r="X183">
        <v>25.4</v>
      </c>
      <c r="Y183">
        <v>59.35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25.4</v>
      </c>
      <c r="AH183">
        <v>2</v>
      </c>
      <c r="AI183">
        <v>44965773</v>
      </c>
      <c r="AJ183">
        <v>186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ROW(Source!A92)</f>
        <v>92</v>
      </c>
      <c r="B184">
        <v>44965774</v>
      </c>
      <c r="C184">
        <v>44965764</v>
      </c>
      <c r="D184">
        <v>30592995</v>
      </c>
      <c r="E184">
        <v>1</v>
      </c>
      <c r="F184">
        <v>1</v>
      </c>
      <c r="G184">
        <v>30515945</v>
      </c>
      <c r="H184">
        <v>3</v>
      </c>
      <c r="I184" t="s">
        <v>582</v>
      </c>
      <c r="J184" t="s">
        <v>583</v>
      </c>
      <c r="K184" t="s">
        <v>584</v>
      </c>
      <c r="L184">
        <v>1355</v>
      </c>
      <c r="N184">
        <v>1010</v>
      </c>
      <c r="O184" t="s">
        <v>419</v>
      </c>
      <c r="P184" t="s">
        <v>419</v>
      </c>
      <c r="Q184">
        <v>100</v>
      </c>
      <c r="X184">
        <v>4.5</v>
      </c>
      <c r="Y184">
        <v>228.63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4.5</v>
      </c>
      <c r="AH184">
        <v>2</v>
      </c>
      <c r="AI184">
        <v>44965774</v>
      </c>
      <c r="AJ184">
        <v>187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ROW(Source!A92)</f>
        <v>92</v>
      </c>
      <c r="B185">
        <v>44965775</v>
      </c>
      <c r="C185">
        <v>44965764</v>
      </c>
      <c r="D185">
        <v>30592996</v>
      </c>
      <c r="E185">
        <v>1</v>
      </c>
      <c r="F185">
        <v>1</v>
      </c>
      <c r="G185">
        <v>30515945</v>
      </c>
      <c r="H185">
        <v>3</v>
      </c>
      <c r="I185" t="s">
        <v>585</v>
      </c>
      <c r="J185" t="s">
        <v>586</v>
      </c>
      <c r="K185" t="s">
        <v>587</v>
      </c>
      <c r="L185">
        <v>1301</v>
      </c>
      <c r="N185">
        <v>1003</v>
      </c>
      <c r="O185" t="s">
        <v>26</v>
      </c>
      <c r="P185" t="s">
        <v>26</v>
      </c>
      <c r="Q185">
        <v>1</v>
      </c>
      <c r="X185">
        <v>140</v>
      </c>
      <c r="Y185">
        <v>38.9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140</v>
      </c>
      <c r="AH185">
        <v>2</v>
      </c>
      <c r="AI185">
        <v>44965775</v>
      </c>
      <c r="AJ185">
        <v>188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ROW(Source!A92)</f>
        <v>92</v>
      </c>
      <c r="B186">
        <v>44965776</v>
      </c>
      <c r="C186">
        <v>44965764</v>
      </c>
      <c r="D186">
        <v>30534232</v>
      </c>
      <c r="E186">
        <v>30515945</v>
      </c>
      <c r="F186">
        <v>1</v>
      </c>
      <c r="G186">
        <v>30515945</v>
      </c>
      <c r="H186">
        <v>3</v>
      </c>
      <c r="I186" t="s">
        <v>647</v>
      </c>
      <c r="J186" t="s">
        <v>3</v>
      </c>
      <c r="K186" t="s">
        <v>648</v>
      </c>
      <c r="L186">
        <v>1327</v>
      </c>
      <c r="N186">
        <v>1005</v>
      </c>
      <c r="O186" t="s">
        <v>36</v>
      </c>
      <c r="P186" t="s">
        <v>36</v>
      </c>
      <c r="Q186">
        <v>1</v>
      </c>
      <c r="X186">
        <v>54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t="s">
        <v>3</v>
      </c>
      <c r="AG186">
        <v>54</v>
      </c>
      <c r="AH186">
        <v>3</v>
      </c>
      <c r="AI186">
        <v>-1</v>
      </c>
      <c r="AJ186" t="s">
        <v>3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ROW(Source!A92)</f>
        <v>92</v>
      </c>
      <c r="B187">
        <v>44965777</v>
      </c>
      <c r="C187">
        <v>44965764</v>
      </c>
      <c r="D187">
        <v>30541208</v>
      </c>
      <c r="E187">
        <v>30515945</v>
      </c>
      <c r="F187">
        <v>1</v>
      </c>
      <c r="G187">
        <v>30515945</v>
      </c>
      <c r="H187">
        <v>3</v>
      </c>
      <c r="I187" t="s">
        <v>453</v>
      </c>
      <c r="J187" t="s">
        <v>3</v>
      </c>
      <c r="K187" t="s">
        <v>454</v>
      </c>
      <c r="L187">
        <v>1344</v>
      </c>
      <c r="N187">
        <v>1008</v>
      </c>
      <c r="O187" t="s">
        <v>440</v>
      </c>
      <c r="P187" t="s">
        <v>440</v>
      </c>
      <c r="Q187">
        <v>1</v>
      </c>
      <c r="X187">
        <v>265</v>
      </c>
      <c r="Y187">
        <v>1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265</v>
      </c>
      <c r="AH187">
        <v>2</v>
      </c>
      <c r="AI187">
        <v>44965777</v>
      </c>
      <c r="AJ187">
        <v>190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Смета по ТСН-2001</vt:lpstr>
      <vt:lpstr>Акт по ТСН-2001</vt:lpstr>
      <vt:lpstr>Source</vt:lpstr>
      <vt:lpstr>SourceObSm</vt:lpstr>
      <vt:lpstr>SmtRes</vt:lpstr>
      <vt:lpstr>EtalonRes</vt:lpstr>
      <vt:lpstr>'Акт по ТСН-2001'!Заголовки_для_печати</vt:lpstr>
      <vt:lpstr>'Смета по ТСН-2001'!Заголовки_для_печати</vt:lpstr>
      <vt:lpstr>'Акт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2019-03-15T21:30:53Z</dcterms:created>
  <dcterms:modified xsi:type="dcterms:W3CDTF">2019-03-15T21:32:28Z</dcterms:modified>
</cp:coreProperties>
</file>